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J:\Model_Application\Air Quality\CMAQ\CMAQ Calculator\Calculator\v2\"/>
    </mc:Choice>
  </mc:AlternateContent>
  <bookViews>
    <workbookView xWindow="-15" yWindow="1245" windowWidth="15375" windowHeight="5400" tabRatio="950" firstSheet="7" activeTab="9"/>
  </bookViews>
  <sheets>
    <sheet name="2.1_ATMS" sheetId="100" r:id="rId1"/>
    <sheet name="2.2_Signal Synchronization" sheetId="76" r:id="rId2"/>
    <sheet name="2.3a_Int - New Signal" sheetId="36" r:id="rId3"/>
    <sheet name="2.3b_Int - New Phase" sheetId="37" r:id="rId4"/>
    <sheet name="2.3c_Int - Capacity and Phase" sheetId="38" r:id="rId5"/>
    <sheet name="2.4_Roundabout" sheetId="92" r:id="rId6"/>
    <sheet name="2.5_Incident Management" sheetId="99" r:id="rId7"/>
    <sheet name="2.6_DDI" sheetId="74" r:id="rId8"/>
    <sheet name="3.1_Transit-TransitTech" sheetId="81" r:id="rId9"/>
    <sheet name="3.2_Transit Signal Priority" sheetId="88" r:id="rId10"/>
    <sheet name="4.1_Managed Lane" sheetId="82" r:id="rId11"/>
    <sheet name="5.1_Bike-Ped-Transit" sheetId="20" r:id="rId12"/>
    <sheet name="5.2_Reg. Significant Bike-Ped" sheetId="91" r:id="rId13"/>
    <sheet name="5.3_Commute Strategies" sheetId="44" r:id="rId14"/>
    <sheet name="6.1_Retrofits" sheetId="49" r:id="rId15"/>
    <sheet name="6.2_Alt Fuel Vehicles" sheetId="75" r:id="rId16"/>
    <sheet name="2010ER" sheetId="83" r:id="rId17"/>
    <sheet name="2020ER" sheetId="84" r:id="rId18"/>
    <sheet name="OtherVariables" sheetId="79" r:id="rId19"/>
    <sheet name="Sources &amp; Comments" sheetId="93" r:id="rId20"/>
    <sheet name="Transit-AltFuelER" sheetId="101" r:id="rId21"/>
  </sheets>
  <externalReferences>
    <externalReference r:id="rId22"/>
    <externalReference r:id="rId23"/>
    <externalReference r:id="rId24"/>
    <externalReference r:id="rId25"/>
  </externalReferences>
  <definedNames>
    <definedName name="AREASIZE" localSheetId="8">[1]Inputs!$I$29</definedName>
    <definedName name="AREASIZE" localSheetId="10">[1]Inputs!$I$29</definedName>
    <definedName name="AREASIZE">[2]Inputs!$I$29</definedName>
    <definedName name="AREASIZETBL" localSheetId="8">[1]Defaults!$AS$211:$AT$213</definedName>
    <definedName name="AREASIZETBL" localSheetId="10">[1]Defaults!$AS$211:$AT$213</definedName>
    <definedName name="AREASIZETBL">[2]Defaults!$AS$211:$AT$213</definedName>
    <definedName name="BVMT" localSheetId="8">[1]TravCalcs!$S$49</definedName>
    <definedName name="BVMT" localSheetId="10">[1]TravCalcs!$S$49</definedName>
    <definedName name="BVMT">[2]TravCalcs!$S$49</definedName>
    <definedName name="BVMTOP" localSheetId="8">[1]TravCalcs!$S$56</definedName>
    <definedName name="BVMTOP" localSheetId="10">[1]TravCalcs!$S$56</definedName>
    <definedName name="BVMTOP">[2]TravCalcs!$S$56</definedName>
    <definedName name="BVMTPP" localSheetId="8">[1]TravCalcs!$S$55</definedName>
    <definedName name="BVMTPP" localSheetId="10">[1]TravCalcs!$S$55</definedName>
    <definedName name="BVMTPP">[2]TravCalcs!$S$55</definedName>
    <definedName name="Capacity">OtherVariables!$B$9:$I$29</definedName>
    <definedName name="_xlnm.Database" localSheetId="0">#REF!</definedName>
    <definedName name="_xlnm.Database" localSheetId="5">#REF!</definedName>
    <definedName name="_xlnm.Database" localSheetId="6">#REF!</definedName>
    <definedName name="_xlnm.Database" localSheetId="17">#REF!</definedName>
    <definedName name="_xlnm.Database" localSheetId="9">#REF!</definedName>
    <definedName name="_xlnm.Database" localSheetId="12">#REF!</definedName>
    <definedName name="_xlnm.Database" localSheetId="15">#REF!</definedName>
    <definedName name="_xlnm.Database" localSheetId="20">#REF!</definedName>
    <definedName name="_xlnm.Database">#REF!</definedName>
    <definedName name="DEFTELE" localSheetId="8">[1]Defaults!$K$95</definedName>
    <definedName name="DEFTELE" localSheetId="10">[1]Defaults!$K$95</definedName>
    <definedName name="DEFTELE">[2]Defaults!$K$95</definedName>
    <definedName name="DTRIP" localSheetId="8">[1]TravCalcs!$P$49</definedName>
    <definedName name="DTRIP" localSheetId="10">[1]TravCalcs!$P$49</definedName>
    <definedName name="DTRIP">[2]TravCalcs!$P$49</definedName>
    <definedName name="DTRIPOP" localSheetId="8">[1]TravCalcs!$P$56</definedName>
    <definedName name="DTRIPOP" localSheetId="10">[1]TravCalcs!$P$56</definedName>
    <definedName name="DTRIPOP">[2]TravCalcs!$P$56</definedName>
    <definedName name="DTRIPPP" localSheetId="8">[1]TravCalcs!$P$55</definedName>
    <definedName name="DTRIPPP" localSheetId="10">[1]TravCalcs!$P$55</definedName>
    <definedName name="DTRIPPP">[2]TravCalcs!$P$55</definedName>
    <definedName name="DVMT" localSheetId="8">[1]TravCalcs!$U$49</definedName>
    <definedName name="DVMT" localSheetId="10">[1]TravCalcs!$U$49</definedName>
    <definedName name="DVMT">[2]TravCalcs!$U$49</definedName>
    <definedName name="DVMTOP" localSheetId="8">[1]TravCalcs!$U$56</definedName>
    <definedName name="DVMTOP" localSheetId="10">[1]TravCalcs!$U$56</definedName>
    <definedName name="DVMTOP">[2]TravCalcs!$U$56</definedName>
    <definedName name="DVMTPP" localSheetId="8">[1]TravCalcs!$U$55</definedName>
    <definedName name="DVMTPP" localSheetId="10">[1]TravCalcs!$U$55</definedName>
    <definedName name="DVMTPP">[2]TravCalcs!$U$55</definedName>
    <definedName name="EMPTOT" localSheetId="8">[1]Inputs!$I$43</definedName>
    <definedName name="EMPTOT" localSheetId="10">[1]Inputs!$I$43</definedName>
    <definedName name="EMPTOT">[2]Inputs!$I$43</definedName>
    <definedName name="Farebox" localSheetId="0">#REF!</definedName>
    <definedName name="Farebox">#REF!</definedName>
    <definedName name="FILENAME" localSheetId="8">[1]Inputs!$I$20</definedName>
    <definedName name="FILENAME" localSheetId="10">[1]Inputs!$I$20</definedName>
    <definedName name="FILENAME">[2]Inputs!$I$20</definedName>
    <definedName name="FVMT" localSheetId="8">[1]TravCalcs!$T$49</definedName>
    <definedName name="FVMT" localSheetId="10">[1]TravCalcs!$T$49</definedName>
    <definedName name="FVMT">[2]TravCalcs!$T$49</definedName>
    <definedName name="FVMTOP" localSheetId="8">[1]TravCalcs!$T$56</definedName>
    <definedName name="FVMTOP" localSheetId="10">[1]TravCalcs!$T$56</definedName>
    <definedName name="FVMTOP">[2]TravCalcs!$T$56</definedName>
    <definedName name="FVMTPP" localSheetId="8">[1]TravCalcs!$T$55</definedName>
    <definedName name="FVMTPP" localSheetId="10">[1]TravCalcs!$T$55</definedName>
    <definedName name="FVMTPP">[2]TravCalcs!$T$55</definedName>
    <definedName name="MSOPT" localSheetId="8">[1]Inputs!$X$62</definedName>
    <definedName name="MSOPT" localSheetId="10">[1]Inputs!$X$62</definedName>
    <definedName name="MSOPT">[2]Inputs!$X$62</definedName>
    <definedName name="PEAKLENA" localSheetId="8">[1]Defaults!$J$103:$J$109</definedName>
    <definedName name="PEAKLENA" localSheetId="10">[1]Defaults!$J$103:$J$109</definedName>
    <definedName name="PEAKLENA">[2]Defaults!$J$103:$J$109</definedName>
    <definedName name="Propensity">OtherVariables!$C$362:$H$366</definedName>
    <definedName name="Scenarios">[3]UserAssumptions!$C$2:$C$4</definedName>
    <definedName name="SCOPE" localSheetId="8">[1]Inputs!$I$34</definedName>
    <definedName name="SCOPE" localSheetId="10">[1]Inputs!$I$34</definedName>
    <definedName name="SCOPE">[2]Inputs!$I$34</definedName>
    <definedName name="SCOPETBL" localSheetId="8">[1]Defaults!$AS$223:$AT$224</definedName>
    <definedName name="SCOPETBL" localSheetId="10">[1]Defaults!$AS$223:$AT$224</definedName>
    <definedName name="SCOPETBL">[2]Defaults!$AS$223:$AT$224</definedName>
    <definedName name="SHIFTPER" localSheetId="8">[1]Defaults!$K$103:$K$109</definedName>
    <definedName name="SHIFTPER" localSheetId="10">[1]Defaults!$K$103:$K$109</definedName>
    <definedName name="SHIFTPER">[2]Defaults!$K$103:$K$109</definedName>
    <definedName name="Speed">OtherVariables!$B$33:$I$53</definedName>
    <definedName name="TRIP1" localSheetId="8">[1]TravCalcs!$N$49</definedName>
    <definedName name="TRIP1" localSheetId="10">[1]TravCalcs!$N$49</definedName>
    <definedName name="TRIP1">[2]TravCalcs!$N$49</definedName>
    <definedName name="TRIP1O" localSheetId="8">[1]TravCalcs!$N$56</definedName>
    <definedName name="TRIP1O" localSheetId="10">[1]TravCalcs!$N$56</definedName>
    <definedName name="TRIP1O">[2]TravCalcs!$N$56</definedName>
    <definedName name="TRIP1P" localSheetId="8">[1]TravCalcs!$N$55</definedName>
    <definedName name="TRIP1P" localSheetId="10">[1]TravCalcs!$N$55</definedName>
    <definedName name="TRIP1P">[2]TravCalcs!$N$55</definedName>
    <definedName name="TRIP2" localSheetId="8">[1]TravCalcs!$O$49</definedName>
    <definedName name="TRIP2" localSheetId="10">[1]TravCalcs!$O$49</definedName>
    <definedName name="TRIP2">[2]TravCalcs!$O$49</definedName>
    <definedName name="TRIP2O" localSheetId="8">[1]TravCalcs!$O$56</definedName>
    <definedName name="TRIP2O" localSheetId="10">[1]TravCalcs!$O$56</definedName>
    <definedName name="TRIP2O">[2]TravCalcs!$O$56</definedName>
    <definedName name="TRIP2P" localSheetId="8">[1]TravCalcs!$O$55</definedName>
    <definedName name="TRIP2P" localSheetId="10">[1]TravCalcs!$O$55</definedName>
    <definedName name="TRIP2P">[2]TravCalcs!$O$55</definedName>
    <definedName name="UEFFILE" localSheetId="8">[1]Inputs!$I$21</definedName>
    <definedName name="UEFFILE" localSheetId="10">[1]Inputs!$I$21</definedName>
    <definedName name="UEFFILE">[2]Inputs!$I$21</definedName>
  </definedNames>
  <calcPr calcId="152511"/>
</workbook>
</file>

<file path=xl/calcChain.xml><?xml version="1.0" encoding="utf-8"?>
<calcChain xmlns="http://schemas.openxmlformats.org/spreadsheetml/2006/main">
  <c r="B11" i="101" l="1"/>
  <c r="B10" i="101"/>
  <c r="B9" i="101"/>
  <c r="B8" i="101"/>
  <c r="B7" i="101"/>
  <c r="B6" i="101"/>
  <c r="B5" i="101"/>
  <c r="B4" i="101"/>
  <c r="B3" i="101"/>
  <c r="B2" i="101"/>
  <c r="F32" i="100" l="1"/>
  <c r="F34" i="100" s="1"/>
  <c r="F39" i="37" l="1"/>
  <c r="F85" i="91" l="1"/>
  <c r="E16" i="91"/>
  <c r="D16" i="91"/>
  <c r="E15" i="91"/>
  <c r="D15" i="91"/>
  <c r="F84" i="91" s="1"/>
  <c r="F52" i="44" l="1"/>
  <c r="E52" i="44"/>
  <c r="D37" i="91"/>
  <c r="E37" i="91"/>
  <c r="D38" i="91"/>
  <c r="E38" i="91"/>
  <c r="D39" i="91"/>
  <c r="E39" i="91"/>
  <c r="D40" i="91"/>
  <c r="E40" i="91"/>
  <c r="D41" i="91"/>
  <c r="E41" i="91"/>
  <c r="L34" i="82" l="1"/>
  <c r="K34" i="82"/>
  <c r="L33" i="82"/>
  <c r="K33" i="82"/>
  <c r="G33" i="82"/>
  <c r="G34" i="82"/>
  <c r="F34" i="82"/>
  <c r="F33" i="82"/>
  <c r="J34" i="82"/>
  <c r="I34" i="82"/>
  <c r="J33" i="82"/>
  <c r="I33" i="82"/>
  <c r="D34" i="82"/>
  <c r="E34" i="82"/>
  <c r="E33" i="82"/>
  <c r="D33" i="82"/>
  <c r="F30" i="75" l="1"/>
  <c r="E2" i="101" l="1"/>
  <c r="C2" i="101"/>
  <c r="D2" i="101" s="1"/>
  <c r="L2" i="101"/>
  <c r="M2" i="101"/>
  <c r="N2" i="101"/>
  <c r="O2" i="101"/>
  <c r="P2" i="101"/>
  <c r="Q2" i="101"/>
  <c r="Q7" i="101" s="1"/>
  <c r="E3" i="101"/>
  <c r="C3" i="101"/>
  <c r="D3" i="101" s="1"/>
  <c r="I3" i="101"/>
  <c r="J3" i="101"/>
  <c r="K3" i="101"/>
  <c r="L3" i="101"/>
  <c r="M3" i="101"/>
  <c r="N3" i="101"/>
  <c r="O3" i="101"/>
  <c r="P3" i="101"/>
  <c r="Q3" i="101"/>
  <c r="E4" i="101"/>
  <c r="C4" i="101"/>
  <c r="D4" i="101" s="1"/>
  <c r="I4" i="101"/>
  <c r="J4" i="101"/>
  <c r="K4" i="101"/>
  <c r="L4" i="101"/>
  <c r="M4" i="101"/>
  <c r="N4" i="101"/>
  <c r="O4" i="101"/>
  <c r="P4" i="101"/>
  <c r="Q4" i="101"/>
  <c r="E5" i="101"/>
  <c r="C5" i="101"/>
  <c r="D5" i="101" s="1"/>
  <c r="I5" i="101"/>
  <c r="J5" i="101"/>
  <c r="K5" i="101"/>
  <c r="L5" i="101"/>
  <c r="M5" i="101"/>
  <c r="N5" i="101"/>
  <c r="O5" i="101"/>
  <c r="P5" i="101"/>
  <c r="Q5" i="101"/>
  <c r="E6" i="101"/>
  <c r="C6" i="101"/>
  <c r="D6" i="101" s="1"/>
  <c r="I6" i="101"/>
  <c r="J6" i="101"/>
  <c r="K6" i="101"/>
  <c r="L6" i="101"/>
  <c r="M6" i="101"/>
  <c r="N6" i="101"/>
  <c r="O6" i="101"/>
  <c r="P6" i="101"/>
  <c r="Q6" i="101"/>
  <c r="E7" i="101"/>
  <c r="C7" i="101"/>
  <c r="D7" i="101" s="1"/>
  <c r="L7" i="101"/>
  <c r="M7" i="101"/>
  <c r="N7" i="101"/>
  <c r="O7" i="101"/>
  <c r="P7" i="101"/>
  <c r="E8" i="101"/>
  <c r="C8" i="101"/>
  <c r="D8" i="101" s="1"/>
  <c r="I8" i="101"/>
  <c r="J8" i="101"/>
  <c r="K8" i="101"/>
  <c r="L8" i="101"/>
  <c r="M8" i="101"/>
  <c r="N8" i="101"/>
  <c r="O8" i="101"/>
  <c r="P8" i="101"/>
  <c r="Q8" i="101"/>
  <c r="E9" i="101"/>
  <c r="C9" i="101"/>
  <c r="D9" i="101" s="1"/>
  <c r="I9" i="101"/>
  <c r="J9" i="101"/>
  <c r="K9" i="101"/>
  <c r="L9" i="101"/>
  <c r="M9" i="101"/>
  <c r="N9" i="101"/>
  <c r="O9" i="101"/>
  <c r="P9" i="101"/>
  <c r="Q9" i="101"/>
  <c r="E10" i="101"/>
  <c r="C10" i="101"/>
  <c r="D10" i="101" s="1"/>
  <c r="I10" i="101"/>
  <c r="J10" i="101"/>
  <c r="K10" i="101"/>
  <c r="L10" i="101"/>
  <c r="M10" i="101"/>
  <c r="N10" i="101"/>
  <c r="O10" i="101"/>
  <c r="P10" i="101"/>
  <c r="Q10" i="101"/>
  <c r="E11" i="101"/>
  <c r="C11" i="101"/>
  <c r="D11" i="101" s="1"/>
  <c r="I11" i="101"/>
  <c r="J11" i="101"/>
  <c r="K11" i="101"/>
  <c r="L11" i="101"/>
  <c r="M11" i="101"/>
  <c r="N11" i="101"/>
  <c r="O11" i="101"/>
  <c r="P11" i="101"/>
  <c r="Q11" i="101"/>
  <c r="B24" i="101"/>
  <c r="C24" i="101"/>
  <c r="D24" i="101"/>
  <c r="E24" i="101"/>
  <c r="F24" i="101"/>
  <c r="G24" i="101"/>
  <c r="G3" i="101" s="1"/>
  <c r="H24" i="101"/>
  <c r="H2" i="101" s="1"/>
  <c r="I24" i="101"/>
  <c r="I2" i="101" s="1"/>
  <c r="B25" i="101"/>
  <c r="C25" i="101"/>
  <c r="D25" i="101"/>
  <c r="E25" i="101"/>
  <c r="F25" i="101"/>
  <c r="F7" i="101" s="1"/>
  <c r="G25" i="101"/>
  <c r="G7" i="101" s="1"/>
  <c r="H25" i="101"/>
  <c r="H7" i="101" s="1"/>
  <c r="I25" i="101"/>
  <c r="I7" i="101" s="1"/>
  <c r="J7" i="101" s="1"/>
  <c r="F31" i="101"/>
  <c r="G31" i="101"/>
  <c r="Q37" i="101"/>
  <c r="R37" i="101"/>
  <c r="S37" i="101"/>
  <c r="T37" i="101"/>
  <c r="U37" i="101"/>
  <c r="Z37" i="101"/>
  <c r="Q38" i="101"/>
  <c r="R38" i="101"/>
  <c r="S38" i="101"/>
  <c r="T38" i="101"/>
  <c r="U38" i="101"/>
  <c r="Z38" i="101"/>
  <c r="Q39" i="101"/>
  <c r="R39" i="101"/>
  <c r="S39" i="101"/>
  <c r="T39" i="101"/>
  <c r="U39" i="101"/>
  <c r="Z39" i="101"/>
  <c r="Q40" i="101"/>
  <c r="R40" i="101"/>
  <c r="S40" i="101"/>
  <c r="T40" i="101"/>
  <c r="U40" i="101"/>
  <c r="Z40" i="101"/>
  <c r="Q41" i="101"/>
  <c r="R41" i="101"/>
  <c r="S41" i="101"/>
  <c r="T41" i="101"/>
  <c r="U41" i="101"/>
  <c r="Z41" i="101"/>
  <c r="Q42" i="101"/>
  <c r="R42" i="101"/>
  <c r="S42" i="101"/>
  <c r="T42" i="101"/>
  <c r="U42" i="101"/>
  <c r="Z42" i="101"/>
  <c r="Q43" i="101"/>
  <c r="R43" i="101"/>
  <c r="S43" i="101"/>
  <c r="T43" i="101"/>
  <c r="U43" i="101"/>
  <c r="Z43" i="101"/>
  <c r="Q44" i="101"/>
  <c r="R44" i="101"/>
  <c r="S44" i="101"/>
  <c r="T44" i="101"/>
  <c r="U44" i="101"/>
  <c r="Z44" i="101"/>
  <c r="Q45" i="101"/>
  <c r="R45" i="101"/>
  <c r="S45" i="101"/>
  <c r="T45" i="101"/>
  <c r="U45" i="101"/>
  <c r="Z45" i="101"/>
  <c r="Q46" i="101"/>
  <c r="R46" i="101"/>
  <c r="S46" i="101"/>
  <c r="T46" i="101"/>
  <c r="U46" i="101"/>
  <c r="Z46" i="101"/>
  <c r="Q47" i="101"/>
  <c r="R47" i="101"/>
  <c r="S47" i="101"/>
  <c r="T47" i="101"/>
  <c r="U47" i="101"/>
  <c r="Z47" i="101"/>
  <c r="Q48" i="101"/>
  <c r="R48" i="101"/>
  <c r="S48" i="101"/>
  <c r="T48" i="101"/>
  <c r="U48" i="101"/>
  <c r="Z48" i="101"/>
  <c r="Q49" i="101"/>
  <c r="R49" i="101"/>
  <c r="S49" i="101"/>
  <c r="T49" i="101"/>
  <c r="U49" i="101"/>
  <c r="Z49" i="101"/>
  <c r="Q50" i="101"/>
  <c r="R50" i="101"/>
  <c r="S50" i="101"/>
  <c r="T50" i="101"/>
  <c r="U50" i="101"/>
  <c r="Z50" i="101"/>
  <c r="Q51" i="101"/>
  <c r="R51" i="101"/>
  <c r="S51" i="101"/>
  <c r="T51" i="101"/>
  <c r="U51" i="101"/>
  <c r="Z51" i="101"/>
  <c r="Q52" i="101"/>
  <c r="R52" i="101"/>
  <c r="S52" i="101"/>
  <c r="T52" i="101"/>
  <c r="U52" i="101"/>
  <c r="Z52" i="101"/>
  <c r="Q53" i="101"/>
  <c r="R53" i="101"/>
  <c r="S53" i="101"/>
  <c r="T53" i="101"/>
  <c r="U53" i="101"/>
  <c r="Z53" i="101"/>
  <c r="Q54" i="101"/>
  <c r="R54" i="101"/>
  <c r="S54" i="101"/>
  <c r="T54" i="101"/>
  <c r="U54" i="101"/>
  <c r="Z54" i="101"/>
  <c r="Q55" i="101"/>
  <c r="R55" i="101"/>
  <c r="S55" i="101"/>
  <c r="T55" i="101"/>
  <c r="U55" i="101"/>
  <c r="Z55" i="101"/>
  <c r="Q56" i="101"/>
  <c r="R56" i="101"/>
  <c r="S56" i="101"/>
  <c r="T56" i="101"/>
  <c r="U56" i="101"/>
  <c r="Z56" i="101"/>
  <c r="Q57" i="101"/>
  <c r="R57" i="101"/>
  <c r="H3" i="101" s="1"/>
  <c r="S57" i="101"/>
  <c r="H4" i="101" s="1"/>
  <c r="T57" i="101"/>
  <c r="H5" i="101" s="1"/>
  <c r="U57" i="101"/>
  <c r="H6" i="101" s="1"/>
  <c r="Z57" i="101"/>
  <c r="Q58" i="101"/>
  <c r="R58" i="101"/>
  <c r="S58" i="101"/>
  <c r="T58" i="101"/>
  <c r="U58" i="101"/>
  <c r="Z58" i="101"/>
  <c r="Q59" i="101"/>
  <c r="R59" i="101"/>
  <c r="S59" i="101"/>
  <c r="T59" i="101"/>
  <c r="U59" i="101"/>
  <c r="Z59" i="101"/>
  <c r="Q60" i="101"/>
  <c r="R60" i="101"/>
  <c r="S60" i="101"/>
  <c r="T60" i="101"/>
  <c r="U60" i="101"/>
  <c r="Z60" i="101"/>
  <c r="Q61" i="101"/>
  <c r="R61" i="101"/>
  <c r="S61" i="101"/>
  <c r="T61" i="101"/>
  <c r="U61" i="101"/>
  <c r="Z61" i="101"/>
  <c r="Q62" i="101"/>
  <c r="R62" i="101"/>
  <c r="S62" i="101"/>
  <c r="T62" i="101"/>
  <c r="U62" i="101"/>
  <c r="Z62" i="101"/>
  <c r="Q63" i="101"/>
  <c r="R63" i="101"/>
  <c r="S63" i="101"/>
  <c r="T63" i="101"/>
  <c r="U63" i="101"/>
  <c r="Z63" i="101"/>
  <c r="Q64" i="101"/>
  <c r="R64" i="101"/>
  <c r="S64" i="101"/>
  <c r="T64" i="101"/>
  <c r="U64" i="101"/>
  <c r="Z64" i="101"/>
  <c r="Q65" i="101"/>
  <c r="R65" i="101"/>
  <c r="S65" i="101"/>
  <c r="T65" i="101"/>
  <c r="U65" i="101"/>
  <c r="Z65" i="101"/>
  <c r="Q66" i="101"/>
  <c r="R66" i="101"/>
  <c r="S66" i="101"/>
  <c r="T66" i="101"/>
  <c r="U66" i="101"/>
  <c r="Z66" i="101"/>
  <c r="Q67" i="101"/>
  <c r="R67" i="101"/>
  <c r="H8" i="101" s="1"/>
  <c r="S67" i="101"/>
  <c r="H9" i="101" s="1"/>
  <c r="T67" i="101"/>
  <c r="H10" i="101" s="1"/>
  <c r="U67" i="101"/>
  <c r="H11" i="101" s="1"/>
  <c r="Z67" i="101"/>
  <c r="F393" i="79"/>
  <c r="E398" i="79"/>
  <c r="F389" i="79"/>
  <c r="J385" i="79"/>
  <c r="L399" i="79"/>
  <c r="J392" i="79"/>
  <c r="I400" i="79"/>
  <c r="H386" i="79"/>
  <c r="M389" i="79"/>
  <c r="H395" i="79"/>
  <c r="F406" i="79"/>
  <c r="G394" i="79"/>
  <c r="K398" i="79"/>
  <c r="M385" i="79"/>
  <c r="D397" i="79"/>
  <c r="L401" i="79"/>
  <c r="M395" i="79"/>
  <c r="J398" i="79"/>
  <c r="F404" i="79"/>
  <c r="G386" i="79"/>
  <c r="E404" i="79"/>
  <c r="I403" i="79"/>
  <c r="K401" i="79"/>
  <c r="K395" i="79"/>
  <c r="M384" i="79"/>
  <c r="M390" i="79"/>
  <c r="H387" i="79"/>
  <c r="J391" i="79"/>
  <c r="M401" i="79"/>
  <c r="L391" i="79"/>
  <c r="M400" i="79"/>
  <c r="D391" i="79"/>
  <c r="H399" i="79"/>
  <c r="H398" i="79"/>
  <c r="F398" i="79"/>
  <c r="I386" i="79"/>
  <c r="H393" i="79"/>
  <c r="M388" i="79"/>
  <c r="J396" i="79"/>
  <c r="L394" i="79"/>
  <c r="G404" i="79"/>
  <c r="D399" i="79"/>
  <c r="G399" i="79"/>
  <c r="L404" i="79"/>
  <c r="E395" i="79"/>
  <c r="K393" i="79"/>
  <c r="I398" i="79"/>
  <c r="J390" i="79"/>
  <c r="G389" i="79"/>
  <c r="G396" i="79"/>
  <c r="G388" i="79"/>
  <c r="E387" i="79"/>
  <c r="J397" i="79"/>
  <c r="L393" i="79"/>
  <c r="H383" i="79"/>
  <c r="D393" i="79"/>
  <c r="H394" i="79"/>
  <c r="D390" i="79"/>
  <c r="L386" i="79"/>
  <c r="E392" i="79"/>
  <c r="D402" i="79"/>
  <c r="D392" i="79"/>
  <c r="M383" i="79"/>
  <c r="E390" i="79"/>
  <c r="M387" i="79"/>
  <c r="H389" i="79"/>
  <c r="E406" i="79"/>
  <c r="I401" i="79"/>
  <c r="G393" i="79"/>
  <c r="K385" i="79"/>
  <c r="G398" i="79"/>
  <c r="F400" i="79"/>
  <c r="D383" i="79"/>
  <c r="K383" i="79"/>
  <c r="K391" i="79"/>
  <c r="D395" i="79"/>
  <c r="G400" i="79"/>
  <c r="H391" i="79"/>
  <c r="F397" i="79"/>
  <c r="E399" i="79"/>
  <c r="J389" i="79"/>
  <c r="K396" i="79"/>
  <c r="I395" i="79"/>
  <c r="G397" i="79"/>
  <c r="E394" i="79"/>
  <c r="M404" i="79"/>
  <c r="H396" i="79"/>
  <c r="G405" i="79"/>
  <c r="G401" i="79"/>
  <c r="L405" i="79"/>
  <c r="I387" i="79"/>
  <c r="K392" i="79"/>
  <c r="E393" i="79"/>
  <c r="H401" i="79"/>
  <c r="L396" i="79"/>
  <c r="L398" i="79"/>
  <c r="F391" i="79"/>
  <c r="I389" i="79"/>
  <c r="M394" i="79"/>
  <c r="F399" i="79"/>
  <c r="J401" i="79"/>
  <c r="I394" i="79"/>
  <c r="K386" i="79"/>
  <c r="K388" i="79"/>
  <c r="F402" i="79"/>
  <c r="G383" i="79"/>
  <c r="D398" i="79"/>
  <c r="D401" i="79"/>
  <c r="J404" i="79"/>
  <c r="H402" i="79"/>
  <c r="L383" i="79"/>
  <c r="J400" i="79"/>
  <c r="G385" i="79"/>
  <c r="L390" i="79"/>
  <c r="F395" i="79"/>
  <c r="E389" i="79"/>
  <c r="K399" i="79"/>
  <c r="E383" i="79"/>
  <c r="J387" i="79"/>
  <c r="F386" i="79"/>
  <c r="G406" i="79"/>
  <c r="E401" i="79"/>
  <c r="F388" i="79"/>
  <c r="M397" i="79"/>
  <c r="G391" i="79"/>
  <c r="D403" i="79"/>
  <c r="L402" i="79"/>
  <c r="H403" i="79"/>
  <c r="L397" i="79"/>
  <c r="F387" i="79"/>
  <c r="J405" i="79"/>
  <c r="D394" i="79"/>
  <c r="F396" i="79"/>
  <c r="K384" i="79"/>
  <c r="I392" i="79"/>
  <c r="M403" i="79"/>
  <c r="J395" i="79"/>
  <c r="G395" i="79"/>
  <c r="E397" i="79"/>
  <c r="I385" i="79"/>
  <c r="D396" i="79"/>
  <c r="K404" i="79"/>
  <c r="K406" i="79"/>
  <c r="M386" i="79"/>
  <c r="J399" i="79"/>
  <c r="M405" i="79"/>
  <c r="F384" i="79"/>
  <c r="E396" i="79"/>
  <c r="F401" i="79"/>
  <c r="E403" i="79"/>
  <c r="L387" i="79"/>
  <c r="H400" i="79"/>
  <c r="K405" i="79"/>
  <c r="I406" i="79"/>
  <c r="D406" i="79"/>
  <c r="I399" i="79"/>
  <c r="K394" i="79"/>
  <c r="K387" i="79"/>
  <c r="D400" i="79"/>
  <c r="M398" i="79"/>
  <c r="L406" i="79"/>
  <c r="F403" i="79"/>
  <c r="J384" i="79"/>
  <c r="I396" i="79"/>
  <c r="H384" i="79"/>
  <c r="H388" i="79"/>
  <c r="L392" i="79"/>
  <c r="F392" i="79"/>
  <c r="F385" i="79"/>
  <c r="I402" i="79"/>
  <c r="J386" i="79"/>
  <c r="G390" i="79"/>
  <c r="G387" i="79"/>
  <c r="L384" i="79"/>
  <c r="M402" i="79"/>
  <c r="E405" i="79"/>
  <c r="J406" i="79"/>
  <c r="H405" i="79"/>
  <c r="J393" i="79"/>
  <c r="H390" i="79"/>
  <c r="E386" i="79"/>
  <c r="M399" i="79"/>
  <c r="I383" i="79"/>
  <c r="L403" i="79"/>
  <c r="F383" i="79"/>
  <c r="M392" i="79"/>
  <c r="D387" i="79"/>
  <c r="K390" i="79"/>
  <c r="G384" i="79"/>
  <c r="F405" i="79"/>
  <c r="H385" i="79"/>
  <c r="M406" i="79"/>
  <c r="E388" i="79"/>
  <c r="K389" i="79"/>
  <c r="M396" i="79"/>
  <c r="L388" i="79"/>
  <c r="D386" i="79"/>
  <c r="L389" i="79"/>
  <c r="L385" i="79"/>
  <c r="D385" i="79"/>
  <c r="H406" i="79"/>
  <c r="F394" i="79"/>
  <c r="K403" i="79"/>
  <c r="I391" i="79"/>
  <c r="H404" i="79"/>
  <c r="K397" i="79"/>
  <c r="H392" i="79"/>
  <c r="D389" i="79"/>
  <c r="I390" i="79"/>
  <c r="G402" i="79"/>
  <c r="D388" i="79"/>
  <c r="J402" i="79"/>
  <c r="E385" i="79"/>
  <c r="J383" i="79"/>
  <c r="E402" i="79"/>
  <c r="I388" i="79"/>
  <c r="M391" i="79"/>
  <c r="I393" i="79"/>
  <c r="K400" i="79"/>
  <c r="L395" i="79"/>
  <c r="K402" i="79"/>
  <c r="H397" i="79"/>
  <c r="E391" i="79"/>
  <c r="I397" i="79"/>
  <c r="D384" i="79"/>
  <c r="L400" i="79"/>
  <c r="J403" i="79"/>
  <c r="F390" i="79"/>
  <c r="I404" i="79"/>
  <c r="G392" i="79"/>
  <c r="J394" i="79"/>
  <c r="M393" i="79"/>
  <c r="E384" i="79"/>
  <c r="J388" i="79"/>
  <c r="G403" i="79"/>
  <c r="E400" i="79"/>
  <c r="I384" i="79"/>
  <c r="D16" i="75" l="1"/>
  <c r="D19" i="75"/>
  <c r="D20" i="75"/>
  <c r="D18" i="75"/>
  <c r="E16" i="75"/>
  <c r="E17" i="75"/>
  <c r="E20" i="75"/>
  <c r="E24" i="75"/>
  <c r="D26" i="75"/>
  <c r="E26" i="75"/>
  <c r="E18" i="75"/>
  <c r="D25" i="75"/>
  <c r="D24" i="75"/>
  <c r="E25" i="75"/>
  <c r="E19" i="75"/>
  <c r="D22" i="75"/>
  <c r="D23" i="75"/>
  <c r="E22" i="75"/>
  <c r="E23" i="75"/>
  <c r="D17" i="75"/>
  <c r="F4" i="101"/>
  <c r="K2" i="101"/>
  <c r="J2" i="101"/>
  <c r="G4" i="101"/>
  <c r="G2" i="101"/>
  <c r="F3" i="101"/>
  <c r="F2" i="101"/>
  <c r="G10" i="101"/>
  <c r="G9" i="101"/>
  <c r="G8" i="101"/>
  <c r="K7" i="101"/>
  <c r="G5" i="101"/>
  <c r="F5" i="101"/>
  <c r="F10" i="101"/>
  <c r="F9" i="101"/>
  <c r="F8" i="101"/>
  <c r="D404" i="79"/>
  <c r="D405" i="79"/>
  <c r="I405" i="79"/>
  <c r="F16" i="75" l="1"/>
  <c r="F20" i="75"/>
  <c r="F23" i="75"/>
  <c r="F17" i="75"/>
  <c r="F24" i="75"/>
  <c r="F22" i="75"/>
  <c r="F25" i="75"/>
  <c r="F18" i="75"/>
  <c r="F26" i="75"/>
  <c r="F19" i="75"/>
  <c r="F37" i="75" l="1"/>
  <c r="F40" i="75"/>
  <c r="F41" i="75"/>
  <c r="F38" i="75"/>
  <c r="F39" i="75"/>
  <c r="F32" i="20"/>
  <c r="F41" i="20" s="1"/>
  <c r="F30" i="20"/>
  <c r="F29" i="20"/>
  <c r="F29" i="91"/>
  <c r="F28" i="91"/>
  <c r="F33" i="49"/>
  <c r="F32" i="49"/>
  <c r="E20" i="49"/>
  <c r="D19" i="49"/>
  <c r="F46" i="91" l="1"/>
  <c r="F40" i="20"/>
  <c r="E32" i="49"/>
  <c r="E33" i="49"/>
  <c r="D33" i="49"/>
  <c r="D32" i="49"/>
  <c r="E22" i="49"/>
  <c r="E21" i="49"/>
  <c r="D22" i="49"/>
  <c r="D21" i="49"/>
  <c r="D36" i="49" s="1"/>
  <c r="D37" i="49" s="1"/>
  <c r="E36" i="49" l="1"/>
  <c r="E37" i="49" s="1"/>
  <c r="F22" i="49"/>
  <c r="F21" i="49"/>
  <c r="F36" i="49" l="1"/>
  <c r="F37" i="49"/>
  <c r="F49" i="49" s="1"/>
  <c r="F55" i="49" s="1"/>
  <c r="F65" i="88"/>
  <c r="F45" i="36"/>
  <c r="F50" i="38"/>
  <c r="B350" i="79" l="1"/>
  <c r="B352" i="79" s="1"/>
  <c r="B353" i="79" s="1"/>
  <c r="B354" i="79" s="1"/>
  <c r="B355" i="79" s="1"/>
  <c r="B356" i="79" s="1"/>
  <c r="B357" i="79" s="1"/>
  <c r="C350" i="79"/>
  <c r="C347" i="79" s="1"/>
  <c r="D350" i="79"/>
  <c r="E350" i="79"/>
  <c r="E347" i="79" s="1"/>
  <c r="F350" i="79"/>
  <c r="F347" i="79" s="1"/>
  <c r="G350" i="79"/>
  <c r="G347" i="79" s="1"/>
  <c r="D352" i="79"/>
  <c r="D353" i="79" s="1"/>
  <c r="D354" i="79" s="1"/>
  <c r="D355" i="79" s="1"/>
  <c r="D356" i="79" s="1"/>
  <c r="D357" i="79" s="1"/>
  <c r="F41" i="44"/>
  <c r="E49" i="82"/>
  <c r="G51" i="82" s="1"/>
  <c r="G352" i="79" l="1"/>
  <c r="G353" i="79" s="1"/>
  <c r="G354" i="79" s="1"/>
  <c r="G355" i="79" s="1"/>
  <c r="G356" i="79" s="1"/>
  <c r="G357" i="79" s="1"/>
  <c r="C352" i="79"/>
  <c r="C353" i="79" s="1"/>
  <c r="C354" i="79" s="1"/>
  <c r="C355" i="79" s="1"/>
  <c r="C356" i="79" s="1"/>
  <c r="C357" i="79" s="1"/>
  <c r="F352" i="79"/>
  <c r="F353" i="79" s="1"/>
  <c r="F354" i="79" s="1"/>
  <c r="F355" i="79" s="1"/>
  <c r="F356" i="79" s="1"/>
  <c r="F357" i="79" s="1"/>
  <c r="E352" i="79"/>
  <c r="E353" i="79" s="1"/>
  <c r="E354" i="79" s="1"/>
  <c r="E355" i="79" s="1"/>
  <c r="E356" i="79" s="1"/>
  <c r="E357" i="79" s="1"/>
  <c r="F45" i="20"/>
  <c r="F33" i="100" l="1"/>
  <c r="F49" i="100" s="1"/>
  <c r="E24" i="37"/>
  <c r="I24" i="76"/>
  <c r="E12" i="100"/>
  <c r="D12" i="100"/>
  <c r="E25" i="100" l="1"/>
  <c r="E26" i="100"/>
  <c r="E27" i="100"/>
  <c r="E28" i="100"/>
  <c r="E24" i="100"/>
  <c r="D25" i="100"/>
  <c r="D26" i="100"/>
  <c r="D27" i="100"/>
  <c r="D28" i="100"/>
  <c r="D24" i="100"/>
  <c r="E20" i="100"/>
  <c r="E21" i="100"/>
  <c r="E22" i="100"/>
  <c r="E23" i="100"/>
  <c r="E19" i="100"/>
  <c r="D20" i="100"/>
  <c r="D21" i="100"/>
  <c r="D22" i="100"/>
  <c r="D23" i="100"/>
  <c r="D19" i="100"/>
  <c r="E11" i="100"/>
  <c r="D11" i="100"/>
  <c r="E26" i="36" l="1"/>
  <c r="E10" i="100" l="1"/>
  <c r="E9" i="100"/>
  <c r="E8" i="100"/>
  <c r="E32" i="100" s="1"/>
  <c r="D10" i="100"/>
  <c r="D9" i="100"/>
  <c r="D8" i="100"/>
  <c r="D32" i="100" s="1"/>
  <c r="E33" i="100" l="1"/>
  <c r="E40" i="100" s="1"/>
  <c r="D34" i="100"/>
  <c r="D45" i="100" s="1"/>
  <c r="E34" i="100"/>
  <c r="E45" i="100" s="1"/>
  <c r="D33" i="100"/>
  <c r="F28" i="100"/>
  <c r="F25" i="100"/>
  <c r="H65" i="74"/>
  <c r="H79" i="74" s="1"/>
  <c r="H64" i="74"/>
  <c r="G53" i="82"/>
  <c r="J49" i="82"/>
  <c r="D49" i="82"/>
  <c r="F51" i="82" s="1"/>
  <c r="F53" i="82" s="1"/>
  <c r="F50" i="82"/>
  <c r="D42" i="100" l="1"/>
  <c r="D44" i="100"/>
  <c r="E37" i="100"/>
  <c r="E36" i="100"/>
  <c r="D41" i="100"/>
  <c r="D43" i="100"/>
  <c r="E38" i="100"/>
  <c r="E49" i="100"/>
  <c r="E41" i="100"/>
  <c r="E39" i="100"/>
  <c r="E57" i="100"/>
  <c r="E43" i="100"/>
  <c r="E44" i="100"/>
  <c r="E42" i="100"/>
  <c r="D39" i="100"/>
  <c r="D38" i="100"/>
  <c r="D36" i="100"/>
  <c r="D37" i="100"/>
  <c r="D54" i="100" s="1"/>
  <c r="D40" i="100"/>
  <c r="D57" i="100" s="1"/>
  <c r="D49" i="100"/>
  <c r="F27" i="100"/>
  <c r="F24" i="100"/>
  <c r="F26" i="100"/>
  <c r="F19" i="100"/>
  <c r="F41" i="100" s="1"/>
  <c r="F46" i="82"/>
  <c r="D47" i="82" s="1"/>
  <c r="R150" i="83"/>
  <c r="Q150" i="83"/>
  <c r="P150" i="83"/>
  <c r="O150" i="83"/>
  <c r="N150" i="83"/>
  <c r="M150" i="83"/>
  <c r="L150" i="83"/>
  <c r="K150" i="83"/>
  <c r="J150" i="83"/>
  <c r="I150" i="83"/>
  <c r="H150" i="83"/>
  <c r="G150" i="83"/>
  <c r="F150" i="83"/>
  <c r="E150" i="83"/>
  <c r="R149" i="83"/>
  <c r="Q149" i="83"/>
  <c r="P149" i="83"/>
  <c r="O149" i="83"/>
  <c r="N149" i="83"/>
  <c r="M149" i="83"/>
  <c r="L149" i="83"/>
  <c r="K149" i="83"/>
  <c r="J149" i="83"/>
  <c r="I149" i="83"/>
  <c r="H149" i="83"/>
  <c r="G149" i="83"/>
  <c r="F149" i="83"/>
  <c r="E149" i="83"/>
  <c r="R148" i="83"/>
  <c r="Q148" i="83"/>
  <c r="P148" i="83"/>
  <c r="O148" i="83"/>
  <c r="N148" i="83"/>
  <c r="M148" i="83"/>
  <c r="L148" i="83"/>
  <c r="K148" i="83"/>
  <c r="J148" i="83"/>
  <c r="I148" i="83"/>
  <c r="H148" i="83"/>
  <c r="G148" i="83"/>
  <c r="F148" i="83"/>
  <c r="E148" i="83"/>
  <c r="R147" i="83"/>
  <c r="Q147" i="83"/>
  <c r="P147" i="83"/>
  <c r="O147" i="83"/>
  <c r="N147" i="83"/>
  <c r="M147" i="83"/>
  <c r="L147" i="83"/>
  <c r="K147" i="83"/>
  <c r="J147" i="83"/>
  <c r="I147" i="83"/>
  <c r="H147" i="83"/>
  <c r="G147" i="83"/>
  <c r="F147" i="83"/>
  <c r="E147" i="83"/>
  <c r="R146" i="83"/>
  <c r="Q146" i="83"/>
  <c r="P146" i="83"/>
  <c r="O146" i="83"/>
  <c r="N146" i="83"/>
  <c r="M146" i="83"/>
  <c r="L146" i="83"/>
  <c r="K146" i="83"/>
  <c r="J146" i="83"/>
  <c r="I146" i="83"/>
  <c r="H146" i="83"/>
  <c r="G146" i="83"/>
  <c r="F146" i="83"/>
  <c r="E146" i="83"/>
  <c r="R145" i="83"/>
  <c r="Q145" i="83"/>
  <c r="P145" i="83"/>
  <c r="O145" i="83"/>
  <c r="N145" i="83"/>
  <c r="M145" i="83"/>
  <c r="L145" i="83"/>
  <c r="K145" i="83"/>
  <c r="J145" i="83"/>
  <c r="I145" i="83"/>
  <c r="H145" i="83"/>
  <c r="G145" i="83"/>
  <c r="F145" i="83"/>
  <c r="E145" i="83"/>
  <c r="R144" i="83"/>
  <c r="Q144" i="83"/>
  <c r="P144" i="83"/>
  <c r="O144" i="83"/>
  <c r="N144" i="83"/>
  <c r="M144" i="83"/>
  <c r="L144" i="83"/>
  <c r="K144" i="83"/>
  <c r="J144" i="83"/>
  <c r="I144" i="83"/>
  <c r="H144" i="83"/>
  <c r="G144" i="83"/>
  <c r="F144" i="83"/>
  <c r="E144" i="83"/>
  <c r="R143" i="83"/>
  <c r="Q143" i="83"/>
  <c r="P143" i="83"/>
  <c r="O143" i="83"/>
  <c r="N143" i="83"/>
  <c r="M143" i="83"/>
  <c r="L143" i="83"/>
  <c r="K143" i="83"/>
  <c r="J143" i="83"/>
  <c r="I143" i="83"/>
  <c r="H143" i="83"/>
  <c r="G143" i="83"/>
  <c r="F143" i="83"/>
  <c r="E143" i="83"/>
  <c r="R142" i="83"/>
  <c r="Q142" i="83"/>
  <c r="P142" i="83"/>
  <c r="O142" i="83"/>
  <c r="N142" i="83"/>
  <c r="M142" i="83"/>
  <c r="L142" i="83"/>
  <c r="K142" i="83"/>
  <c r="J142" i="83"/>
  <c r="I142" i="83"/>
  <c r="H142" i="83"/>
  <c r="G142" i="83"/>
  <c r="F142" i="83"/>
  <c r="E142" i="83"/>
  <c r="R141" i="83"/>
  <c r="Q141" i="83"/>
  <c r="P141" i="83"/>
  <c r="O141" i="83"/>
  <c r="N141" i="83"/>
  <c r="M141" i="83"/>
  <c r="L141" i="83"/>
  <c r="K141" i="83"/>
  <c r="J141" i="83"/>
  <c r="I141" i="83"/>
  <c r="H141" i="83"/>
  <c r="G141" i="83"/>
  <c r="F141" i="83"/>
  <c r="E141" i="83"/>
  <c r="R140" i="83"/>
  <c r="Q140" i="83"/>
  <c r="P140" i="83"/>
  <c r="O140" i="83"/>
  <c r="N140" i="83"/>
  <c r="M140" i="83"/>
  <c r="L140" i="83"/>
  <c r="K140" i="83"/>
  <c r="J140" i="83"/>
  <c r="I140" i="83"/>
  <c r="H140" i="83"/>
  <c r="G140" i="83"/>
  <c r="F140" i="83"/>
  <c r="E140" i="83"/>
  <c r="R139" i="83"/>
  <c r="Q139" i="83"/>
  <c r="P139" i="83"/>
  <c r="O139" i="83"/>
  <c r="N139" i="83"/>
  <c r="M139" i="83"/>
  <c r="L139" i="83"/>
  <c r="K139" i="83"/>
  <c r="J139" i="83"/>
  <c r="I139" i="83"/>
  <c r="H139" i="83"/>
  <c r="G139" i="83"/>
  <c r="F139" i="83"/>
  <c r="E139" i="83"/>
  <c r="R138" i="83"/>
  <c r="Q138" i="83"/>
  <c r="P138" i="83"/>
  <c r="O138" i="83"/>
  <c r="N138" i="83"/>
  <c r="M138" i="83"/>
  <c r="L138" i="83"/>
  <c r="K138" i="83"/>
  <c r="J138" i="83"/>
  <c r="I138" i="83"/>
  <c r="H138" i="83"/>
  <c r="G138" i="83"/>
  <c r="F138" i="83"/>
  <c r="E138" i="83"/>
  <c r="R137" i="83"/>
  <c r="Q137" i="83"/>
  <c r="P137" i="83"/>
  <c r="O137" i="83"/>
  <c r="N137" i="83"/>
  <c r="M137" i="83"/>
  <c r="L137" i="83"/>
  <c r="K137" i="83"/>
  <c r="J137" i="83"/>
  <c r="I137" i="83"/>
  <c r="H137" i="83"/>
  <c r="G137" i="83"/>
  <c r="F137" i="83"/>
  <c r="E137" i="83"/>
  <c r="R136" i="83"/>
  <c r="Q136" i="83"/>
  <c r="P136" i="83"/>
  <c r="O136" i="83"/>
  <c r="N136" i="83"/>
  <c r="M136" i="83"/>
  <c r="L136" i="83"/>
  <c r="K136" i="83"/>
  <c r="J136" i="83"/>
  <c r="I136" i="83"/>
  <c r="H136" i="83"/>
  <c r="G136" i="83"/>
  <c r="F136" i="83"/>
  <c r="E136" i="83"/>
  <c r="R135" i="83"/>
  <c r="Q135" i="83"/>
  <c r="P135" i="83"/>
  <c r="O135" i="83"/>
  <c r="N135" i="83"/>
  <c r="M135" i="83"/>
  <c r="L135" i="83"/>
  <c r="K135" i="83"/>
  <c r="J135" i="83"/>
  <c r="I135" i="83"/>
  <c r="H135" i="83"/>
  <c r="G135" i="83"/>
  <c r="F135" i="83"/>
  <c r="E135" i="83"/>
  <c r="R134" i="83"/>
  <c r="Q134" i="83"/>
  <c r="P134" i="83"/>
  <c r="O134" i="83"/>
  <c r="N134" i="83"/>
  <c r="M134" i="83"/>
  <c r="L134" i="83"/>
  <c r="K134" i="83"/>
  <c r="J134" i="83"/>
  <c r="I134" i="83"/>
  <c r="H134" i="83"/>
  <c r="G134" i="83"/>
  <c r="F134" i="83"/>
  <c r="E134" i="83"/>
  <c r="R133" i="83"/>
  <c r="Q133" i="83"/>
  <c r="P133" i="83"/>
  <c r="O133" i="83"/>
  <c r="N133" i="83"/>
  <c r="M133" i="83"/>
  <c r="L133" i="83"/>
  <c r="K133" i="83"/>
  <c r="J133" i="83"/>
  <c r="I133" i="83"/>
  <c r="H133" i="83"/>
  <c r="G133" i="83"/>
  <c r="F133" i="83"/>
  <c r="E133" i="83"/>
  <c r="R132" i="83"/>
  <c r="Q132" i="83"/>
  <c r="P132" i="83"/>
  <c r="O132" i="83"/>
  <c r="N132" i="83"/>
  <c r="M132" i="83"/>
  <c r="L132" i="83"/>
  <c r="K132" i="83"/>
  <c r="J132" i="83"/>
  <c r="I132" i="83"/>
  <c r="H132" i="83"/>
  <c r="G132" i="83"/>
  <c r="F132" i="83"/>
  <c r="E132" i="83"/>
  <c r="R131" i="83"/>
  <c r="Q131" i="83"/>
  <c r="P131" i="83"/>
  <c r="O131" i="83"/>
  <c r="N131" i="83"/>
  <c r="M131" i="83"/>
  <c r="L131" i="83"/>
  <c r="K131" i="83"/>
  <c r="J131" i="83"/>
  <c r="I131" i="83"/>
  <c r="H131" i="83"/>
  <c r="G131" i="83"/>
  <c r="F131" i="83"/>
  <c r="E131" i="83"/>
  <c r="R130" i="83"/>
  <c r="Q130" i="83"/>
  <c r="P130" i="83"/>
  <c r="O130" i="83"/>
  <c r="N130" i="83"/>
  <c r="M130" i="83"/>
  <c r="L130" i="83"/>
  <c r="K130" i="83"/>
  <c r="J130" i="83"/>
  <c r="I130" i="83"/>
  <c r="H130" i="83"/>
  <c r="G130" i="83"/>
  <c r="F130" i="83"/>
  <c r="E130" i="83"/>
  <c r="R129" i="83"/>
  <c r="Q129" i="83"/>
  <c r="P129" i="83"/>
  <c r="O129" i="83"/>
  <c r="N129" i="83"/>
  <c r="M129" i="83"/>
  <c r="L129" i="83"/>
  <c r="K129" i="83"/>
  <c r="J129" i="83"/>
  <c r="I129" i="83"/>
  <c r="H129" i="83"/>
  <c r="G129" i="83"/>
  <c r="F129" i="83"/>
  <c r="E129" i="83"/>
  <c r="R128" i="83"/>
  <c r="Q128" i="83"/>
  <c r="P128" i="83"/>
  <c r="O128" i="83"/>
  <c r="N128" i="83"/>
  <c r="M128" i="83"/>
  <c r="L128" i="83"/>
  <c r="K128" i="83"/>
  <c r="J128" i="83"/>
  <c r="I128" i="83"/>
  <c r="H128" i="83"/>
  <c r="G128" i="83"/>
  <c r="F128" i="83"/>
  <c r="E128" i="83"/>
  <c r="R127" i="83"/>
  <c r="Q127" i="83"/>
  <c r="P127" i="83"/>
  <c r="O127" i="83"/>
  <c r="N127" i="83"/>
  <c r="M127" i="83"/>
  <c r="L127" i="83"/>
  <c r="K127" i="83"/>
  <c r="J127" i="83"/>
  <c r="I127" i="83"/>
  <c r="H127" i="83"/>
  <c r="G127" i="83"/>
  <c r="F127" i="83"/>
  <c r="E127" i="83"/>
  <c r="R126" i="83"/>
  <c r="Q126" i="83"/>
  <c r="P126" i="83"/>
  <c r="O126" i="83"/>
  <c r="N126" i="83"/>
  <c r="M126" i="83"/>
  <c r="L126" i="83"/>
  <c r="K126" i="83"/>
  <c r="J126" i="83"/>
  <c r="I126" i="83"/>
  <c r="H126" i="83"/>
  <c r="G126" i="83"/>
  <c r="F126" i="83"/>
  <c r="E126" i="83"/>
  <c r="R125" i="83"/>
  <c r="Q125" i="83"/>
  <c r="P125" i="83"/>
  <c r="O125" i="83"/>
  <c r="N125" i="83"/>
  <c r="M125" i="83"/>
  <c r="L125" i="83"/>
  <c r="K125" i="83"/>
  <c r="J125" i="83"/>
  <c r="I125" i="83"/>
  <c r="H125" i="83"/>
  <c r="G125" i="83"/>
  <c r="F125" i="83"/>
  <c r="E125" i="83"/>
  <c r="R124" i="83"/>
  <c r="Q124" i="83"/>
  <c r="P124" i="83"/>
  <c r="O124" i="83"/>
  <c r="N124" i="83"/>
  <c r="M124" i="83"/>
  <c r="L124" i="83"/>
  <c r="K124" i="83"/>
  <c r="J124" i="83"/>
  <c r="I124" i="83"/>
  <c r="H124" i="83"/>
  <c r="G124" i="83"/>
  <c r="F124" i="83"/>
  <c r="E124" i="83"/>
  <c r="R123" i="83"/>
  <c r="Q123" i="83"/>
  <c r="P123" i="83"/>
  <c r="O123" i="83"/>
  <c r="N123" i="83"/>
  <c r="M123" i="83"/>
  <c r="L123" i="83"/>
  <c r="K123" i="83"/>
  <c r="J123" i="83"/>
  <c r="I123" i="83"/>
  <c r="H123" i="83"/>
  <c r="G123" i="83"/>
  <c r="F123" i="83"/>
  <c r="E123" i="83"/>
  <c r="R122" i="83"/>
  <c r="Q122" i="83"/>
  <c r="P122" i="83"/>
  <c r="O122" i="83"/>
  <c r="N122" i="83"/>
  <c r="M122" i="83"/>
  <c r="L122" i="83"/>
  <c r="K122" i="83"/>
  <c r="J122" i="83"/>
  <c r="I122" i="83"/>
  <c r="H122" i="83"/>
  <c r="G122" i="83"/>
  <c r="F122" i="83"/>
  <c r="E122" i="83"/>
  <c r="R121" i="83"/>
  <c r="Q121" i="83"/>
  <c r="P121" i="83"/>
  <c r="O121" i="83"/>
  <c r="N121" i="83"/>
  <c r="M121" i="83"/>
  <c r="L121" i="83"/>
  <c r="K121" i="83"/>
  <c r="J121" i="83"/>
  <c r="I121" i="83"/>
  <c r="H121" i="83"/>
  <c r="G121" i="83"/>
  <c r="F121" i="83"/>
  <c r="E121" i="83"/>
  <c r="R120" i="83"/>
  <c r="Q120" i="83"/>
  <c r="P120" i="83"/>
  <c r="O120" i="83"/>
  <c r="N120" i="83"/>
  <c r="M120" i="83"/>
  <c r="L120" i="83"/>
  <c r="K120" i="83"/>
  <c r="J120" i="83"/>
  <c r="I120" i="83"/>
  <c r="H120" i="83"/>
  <c r="G120" i="83"/>
  <c r="F120" i="83"/>
  <c r="E120" i="83"/>
  <c r="R119" i="83"/>
  <c r="Q119" i="83"/>
  <c r="P119" i="83"/>
  <c r="O119" i="83"/>
  <c r="N119" i="83"/>
  <c r="M119" i="83"/>
  <c r="L119" i="83"/>
  <c r="K119" i="83"/>
  <c r="J119" i="83"/>
  <c r="I119" i="83"/>
  <c r="H119" i="83"/>
  <c r="G119" i="83"/>
  <c r="F119" i="83"/>
  <c r="E119" i="83"/>
  <c r="AL38" i="83"/>
  <c r="AK38" i="83"/>
  <c r="AJ38" i="83"/>
  <c r="AI38" i="83"/>
  <c r="AH38" i="83"/>
  <c r="AG38" i="83"/>
  <c r="AF38" i="83"/>
  <c r="AE38" i="83"/>
  <c r="AD38" i="83"/>
  <c r="AC38" i="83"/>
  <c r="AB38" i="83"/>
  <c r="AA38" i="83"/>
  <c r="Z38" i="83"/>
  <c r="Y38" i="83"/>
  <c r="X38" i="83"/>
  <c r="AL37" i="83"/>
  <c r="AK37" i="83"/>
  <c r="AJ37" i="83"/>
  <c r="AI37" i="83"/>
  <c r="AH37" i="83"/>
  <c r="AG37" i="83"/>
  <c r="AF37" i="83"/>
  <c r="AE37" i="83"/>
  <c r="AD37" i="83"/>
  <c r="AC37" i="83"/>
  <c r="AB37" i="83"/>
  <c r="AA37" i="83"/>
  <c r="Z37" i="83"/>
  <c r="Y37" i="83"/>
  <c r="X37" i="83"/>
  <c r="AL36" i="83"/>
  <c r="AK36" i="83"/>
  <c r="AJ36" i="83"/>
  <c r="AI36" i="83"/>
  <c r="AH36" i="83"/>
  <c r="AG36" i="83"/>
  <c r="AF36" i="83"/>
  <c r="AE36" i="83"/>
  <c r="AD36" i="83"/>
  <c r="AC36" i="83"/>
  <c r="AB36" i="83"/>
  <c r="AA36" i="83"/>
  <c r="Z36" i="83"/>
  <c r="Y36" i="83"/>
  <c r="X36" i="83"/>
  <c r="AL35" i="83"/>
  <c r="AK35" i="83"/>
  <c r="AJ35" i="83"/>
  <c r="AI35" i="83"/>
  <c r="AH35" i="83"/>
  <c r="AG35" i="83"/>
  <c r="AF35" i="83"/>
  <c r="AE35" i="83"/>
  <c r="AD35" i="83"/>
  <c r="AC35" i="83"/>
  <c r="AB35" i="83"/>
  <c r="AA35" i="83"/>
  <c r="Z35" i="83"/>
  <c r="Y35" i="83"/>
  <c r="X35" i="83"/>
  <c r="AL34" i="83"/>
  <c r="AK34" i="83"/>
  <c r="AJ34" i="83"/>
  <c r="AI34" i="83"/>
  <c r="AH34" i="83"/>
  <c r="AG34" i="83"/>
  <c r="AF34" i="83"/>
  <c r="AE34" i="83"/>
  <c r="AD34" i="83"/>
  <c r="AC34" i="83"/>
  <c r="AB34" i="83"/>
  <c r="AA34" i="83"/>
  <c r="Z34" i="83"/>
  <c r="Y34" i="83"/>
  <c r="X34" i="83"/>
  <c r="D53" i="100" l="1"/>
  <c r="E54" i="100"/>
  <c r="E53" i="100"/>
  <c r="D55" i="100"/>
  <c r="E55" i="100"/>
  <c r="E56" i="100"/>
  <c r="D56" i="100"/>
  <c r="F36" i="100"/>
  <c r="F53" i="100" s="1"/>
  <c r="F20" i="100"/>
  <c r="F23" i="100"/>
  <c r="F21" i="100"/>
  <c r="F22" i="100"/>
  <c r="F58" i="100" l="1"/>
  <c r="F37" i="100"/>
  <c r="F54" i="100" s="1"/>
  <c r="F42" i="100"/>
  <c r="F39" i="100"/>
  <c r="F44" i="100"/>
  <c r="F40" i="100"/>
  <c r="F45" i="100"/>
  <c r="F38" i="100"/>
  <c r="F43" i="100"/>
  <c r="F22" i="81"/>
  <c r="F21" i="81"/>
  <c r="F55" i="100" l="1"/>
  <c r="F60" i="100" s="1"/>
  <c r="F57" i="100"/>
  <c r="F62" i="100" s="1"/>
  <c r="F56" i="100"/>
  <c r="F59" i="100"/>
  <c r="F61" i="100"/>
  <c r="E12" i="81"/>
  <c r="D12" i="81"/>
  <c r="D35" i="82"/>
  <c r="C18" i="82"/>
  <c r="G70" i="92"/>
  <c r="F24" i="92"/>
  <c r="F25" i="92"/>
  <c r="F26" i="92"/>
  <c r="F23" i="92"/>
  <c r="F17" i="92"/>
  <c r="F18" i="92"/>
  <c r="F19" i="92"/>
  <c r="F20" i="92"/>
  <c r="F21" i="92"/>
  <c r="F16" i="92"/>
  <c r="F11" i="92"/>
  <c r="F12" i="92"/>
  <c r="F13" i="92"/>
  <c r="F14" i="92"/>
  <c r="F9" i="92"/>
  <c r="E24" i="92"/>
  <c r="E25" i="92"/>
  <c r="E26" i="92"/>
  <c r="E23" i="92"/>
  <c r="E17" i="92"/>
  <c r="E18" i="92"/>
  <c r="E19" i="92"/>
  <c r="E20" i="92"/>
  <c r="E21" i="92"/>
  <c r="E16" i="92"/>
  <c r="E11" i="92"/>
  <c r="E12" i="92"/>
  <c r="E13" i="92"/>
  <c r="E14" i="92"/>
  <c r="E9" i="92"/>
  <c r="E27" i="88"/>
  <c r="E25" i="88"/>
  <c r="E20" i="88"/>
  <c r="E21" i="88"/>
  <c r="E22" i="88"/>
  <c r="E23" i="88"/>
  <c r="E19" i="88"/>
  <c r="E9" i="88"/>
  <c r="E10" i="88"/>
  <c r="E11" i="88"/>
  <c r="E12" i="88"/>
  <c r="E13" i="88"/>
  <c r="E14" i="88"/>
  <c r="E15" i="88"/>
  <c r="E16" i="88"/>
  <c r="E17" i="88"/>
  <c r="E8" i="88"/>
  <c r="D27" i="88"/>
  <c r="D25" i="88"/>
  <c r="D20" i="88"/>
  <c r="D21" i="88"/>
  <c r="D22" i="88"/>
  <c r="D23" i="88"/>
  <c r="D19" i="88"/>
  <c r="D9" i="88"/>
  <c r="D10" i="88"/>
  <c r="D11" i="88"/>
  <c r="D12" i="88"/>
  <c r="D13" i="88"/>
  <c r="D14" i="88"/>
  <c r="D15" i="88"/>
  <c r="D16" i="88"/>
  <c r="D17" i="88"/>
  <c r="D8" i="88"/>
  <c r="E13" i="81"/>
  <c r="E9" i="81"/>
  <c r="E10" i="81"/>
  <c r="E11" i="81"/>
  <c r="E8" i="81"/>
  <c r="D13" i="81"/>
  <c r="D9" i="81"/>
  <c r="D10" i="81"/>
  <c r="D11" i="81"/>
  <c r="D8" i="81"/>
  <c r="F70" i="92" l="1"/>
  <c r="G11" i="76"/>
  <c r="H8" i="76"/>
  <c r="H9" i="76"/>
  <c r="H10" i="76"/>
  <c r="H11" i="76"/>
  <c r="H12" i="76"/>
  <c r="H13" i="76"/>
  <c r="H7" i="76"/>
  <c r="G8" i="76"/>
  <c r="G9" i="76"/>
  <c r="G10" i="76"/>
  <c r="G13" i="76"/>
  <c r="G7" i="76"/>
  <c r="E13" i="76"/>
  <c r="E8" i="76"/>
  <c r="E9" i="76"/>
  <c r="E10" i="76"/>
  <c r="E11" i="76"/>
  <c r="E12" i="76"/>
  <c r="E7" i="76"/>
  <c r="D13" i="76"/>
  <c r="D8" i="76"/>
  <c r="D9" i="76"/>
  <c r="D10" i="76"/>
  <c r="D11" i="76"/>
  <c r="D7" i="76"/>
  <c r="I26" i="76"/>
  <c r="F26" i="76"/>
  <c r="D32" i="76" s="1"/>
  <c r="F25" i="36"/>
  <c r="F23" i="37"/>
  <c r="D22" i="76" l="1"/>
  <c r="D20" i="99" l="1"/>
  <c r="E20" i="99"/>
  <c r="D21" i="99"/>
  <c r="E21" i="99"/>
  <c r="D22" i="99"/>
  <c r="E22" i="99"/>
  <c r="D23" i="99"/>
  <c r="E23" i="99"/>
  <c r="D24" i="99"/>
  <c r="E24" i="99"/>
  <c r="D25" i="99"/>
  <c r="E25" i="99"/>
  <c r="D26" i="99"/>
  <c r="E26" i="99"/>
  <c r="D27" i="99"/>
  <c r="E27" i="99"/>
  <c r="D28" i="99"/>
  <c r="E28" i="99"/>
  <c r="D29" i="99"/>
  <c r="E29" i="99"/>
  <c r="F38" i="99"/>
  <c r="D47" i="74"/>
  <c r="F47" i="74"/>
  <c r="F20" i="99" l="1"/>
  <c r="F37" i="99"/>
  <c r="F39" i="99"/>
  <c r="F29" i="99"/>
  <c r="F28" i="99"/>
  <c r="F26" i="99"/>
  <c r="F25" i="99"/>
  <c r="F24" i="99"/>
  <c r="F22" i="99"/>
  <c r="F21" i="99"/>
  <c r="F19" i="99"/>
  <c r="F40" i="99" l="1"/>
  <c r="F43" i="99"/>
  <c r="F41" i="99"/>
  <c r="F23" i="99"/>
  <c r="F27" i="99"/>
  <c r="F42" i="99"/>
  <c r="F46" i="99"/>
  <c r="F47" i="99" s="1"/>
  <c r="D41" i="88"/>
  <c r="F45" i="99" l="1"/>
  <c r="F44" i="99"/>
  <c r="D76" i="88"/>
  <c r="D57" i="88"/>
  <c r="E70" i="92"/>
  <c r="F48" i="99" l="1"/>
  <c r="D25" i="81"/>
  <c r="F56" i="99" l="1"/>
  <c r="F61" i="99" s="1"/>
  <c r="F52" i="99"/>
  <c r="F59" i="99"/>
  <c r="F64" i="99" s="1"/>
  <c r="F57" i="99"/>
  <c r="F62" i="99" s="1"/>
  <c r="F58" i="99"/>
  <c r="F63" i="99" s="1"/>
  <c r="F60" i="99"/>
  <c r="F65" i="99" s="1"/>
  <c r="F38" i="91"/>
  <c r="F37" i="91"/>
  <c r="F41" i="91"/>
  <c r="F40" i="91"/>
  <c r="F39" i="91"/>
  <c r="F50" i="91"/>
  <c r="F51" i="91"/>
  <c r="F45" i="91"/>
  <c r="F47" i="91" l="1"/>
  <c r="E85" i="91"/>
  <c r="F53" i="91"/>
  <c r="G10" i="92"/>
  <c r="F55" i="91" l="1"/>
  <c r="F10" i="92"/>
  <c r="E10" i="92"/>
  <c r="H47" i="74"/>
  <c r="F156" i="82"/>
  <c r="D50" i="82"/>
  <c r="D156" i="82" s="1"/>
  <c r="E50" i="82"/>
  <c r="E156" i="82" s="1"/>
  <c r="E55" i="91" l="1"/>
  <c r="E62" i="91" s="1"/>
  <c r="E74" i="91" s="1"/>
  <c r="D55" i="91"/>
  <c r="D59" i="91" s="1"/>
  <c r="D71" i="91" s="1"/>
  <c r="E59" i="91"/>
  <c r="E71" i="91" s="1"/>
  <c r="D48" i="82"/>
  <c r="D51" i="82" s="1"/>
  <c r="D53" i="82" s="1"/>
  <c r="D62" i="91"/>
  <c r="D74" i="91" s="1"/>
  <c r="E34" i="92"/>
  <c r="E60" i="91" l="1"/>
  <c r="E72" i="91" s="1"/>
  <c r="D61" i="91"/>
  <c r="D73" i="91" s="1"/>
  <c r="E58" i="91"/>
  <c r="E70" i="91" s="1"/>
  <c r="E61" i="91"/>
  <c r="E73" i="91" s="1"/>
  <c r="D60" i="91"/>
  <c r="D72" i="91" s="1"/>
  <c r="D58" i="91"/>
  <c r="D70" i="91" s="1"/>
  <c r="F61" i="91"/>
  <c r="F73" i="91" s="1"/>
  <c r="F59" i="91"/>
  <c r="F71" i="91" s="1"/>
  <c r="F60" i="91"/>
  <c r="F72" i="91" s="1"/>
  <c r="F62" i="91"/>
  <c r="F74" i="91" s="1"/>
  <c r="D13" i="36"/>
  <c r="D43" i="36" s="1"/>
  <c r="E43" i="92"/>
  <c r="F58" i="91" l="1"/>
  <c r="F70" i="91" s="1"/>
  <c r="D39" i="37"/>
  <c r="D64" i="74"/>
  <c r="F65" i="74"/>
  <c r="F64" i="74"/>
  <c r="D65" i="74"/>
  <c r="D79" i="74" l="1"/>
  <c r="F79" i="74"/>
  <c r="D35" i="88" l="1"/>
  <c r="F43" i="92" l="1"/>
  <c r="G43" i="92" s="1"/>
  <c r="F42" i="92"/>
  <c r="E42" i="92"/>
  <c r="F41" i="92"/>
  <c r="E41" i="92"/>
  <c r="F40" i="92"/>
  <c r="E40" i="92"/>
  <c r="F39" i="92"/>
  <c r="E39" i="92"/>
  <c r="F38" i="92"/>
  <c r="E38" i="92"/>
  <c r="F37" i="92"/>
  <c r="E37" i="92"/>
  <c r="F36" i="92"/>
  <c r="E36" i="92"/>
  <c r="F35" i="92"/>
  <c r="E35" i="92"/>
  <c r="F34" i="92"/>
  <c r="G34" i="92" s="1"/>
  <c r="G32" i="92"/>
  <c r="E76" i="88"/>
  <c r="F76" i="88"/>
  <c r="D39" i="36"/>
  <c r="D67" i="88"/>
  <c r="D66" i="88"/>
  <c r="D68" i="88" s="1"/>
  <c r="D73" i="88" s="1"/>
  <c r="D78" i="88" s="1"/>
  <c r="D36" i="88"/>
  <c r="H51" i="92" l="1"/>
  <c r="I48" i="92"/>
  <c r="H49" i="92"/>
  <c r="D51" i="92"/>
  <c r="I50" i="92"/>
  <c r="I49" i="92"/>
  <c r="H48" i="92"/>
  <c r="G48" i="92"/>
  <c r="G51" i="92"/>
  <c r="G50" i="92"/>
  <c r="D49" i="92"/>
  <c r="D50" i="92"/>
  <c r="F32" i="92"/>
  <c r="E32" i="92"/>
  <c r="G36" i="92"/>
  <c r="G40" i="92"/>
  <c r="G42" i="92"/>
  <c r="E77" i="92"/>
  <c r="G38" i="92"/>
  <c r="G35" i="92"/>
  <c r="G37" i="92"/>
  <c r="E73" i="92"/>
  <c r="G39" i="92"/>
  <c r="G73" i="92" s="1"/>
  <c r="G41" i="92"/>
  <c r="E74" i="92"/>
  <c r="E76" i="92"/>
  <c r="E75" i="92"/>
  <c r="D71" i="88"/>
  <c r="F48" i="91"/>
  <c r="F49" i="91" s="1"/>
  <c r="F52" i="91" s="1"/>
  <c r="F54" i="91" s="1"/>
  <c r="F76" i="92"/>
  <c r="F77" i="92"/>
  <c r="F74" i="92"/>
  <c r="F75" i="92"/>
  <c r="F73" i="92"/>
  <c r="G74" i="92" l="1"/>
  <c r="G75" i="92"/>
  <c r="F56" i="91"/>
  <c r="E84" i="91"/>
  <c r="G76" i="92"/>
  <c r="G77" i="92"/>
  <c r="D77" i="88"/>
  <c r="D82" i="88" s="1"/>
  <c r="D53" i="92"/>
  <c r="D54" i="92" s="1"/>
  <c r="G56" i="92" s="1"/>
  <c r="I53" i="92"/>
  <c r="I54" i="92" s="1"/>
  <c r="G59" i="92" s="1"/>
  <c r="G63" i="92" s="1"/>
  <c r="D85" i="91"/>
  <c r="H53" i="92"/>
  <c r="H54" i="92" s="1"/>
  <c r="G53" i="92"/>
  <c r="G54" i="92" s="1"/>
  <c r="D56" i="91" l="1"/>
  <c r="E56" i="91"/>
  <c r="E64" i="91" s="1"/>
  <c r="E76" i="91" s="1"/>
  <c r="E88" i="91" s="1"/>
  <c r="F58" i="92"/>
  <c r="F62" i="92" s="1"/>
  <c r="G58" i="92"/>
  <c r="G62" i="92" s="1"/>
  <c r="G60" i="92"/>
  <c r="G65" i="92" s="1"/>
  <c r="F57" i="92"/>
  <c r="G57" i="92"/>
  <c r="G61" i="92" s="1"/>
  <c r="F56" i="92"/>
  <c r="F60" i="92" s="1"/>
  <c r="F59" i="92"/>
  <c r="E56" i="92"/>
  <c r="E60" i="92" s="1"/>
  <c r="E59" i="92"/>
  <c r="E63" i="92" s="1"/>
  <c r="E58" i="92"/>
  <c r="E62" i="92" s="1"/>
  <c r="E57" i="92"/>
  <c r="E61" i="92" s="1"/>
  <c r="E65" i="91" l="1"/>
  <c r="E77" i="91" s="1"/>
  <c r="E89" i="91" s="1"/>
  <c r="E66" i="91"/>
  <c r="E78" i="91" s="1"/>
  <c r="E90" i="91" s="1"/>
  <c r="E67" i="91"/>
  <c r="E79" i="91" s="1"/>
  <c r="E91" i="91" s="1"/>
  <c r="E68" i="91"/>
  <c r="E80" i="91" s="1"/>
  <c r="E92" i="91" s="1"/>
  <c r="E66" i="92"/>
  <c r="G66" i="92"/>
  <c r="E65" i="92"/>
  <c r="E68" i="92"/>
  <c r="F67" i="92"/>
  <c r="F65" i="92"/>
  <c r="E67" i="92"/>
  <c r="F61" i="92"/>
  <c r="F66" i="92" s="1"/>
  <c r="G68" i="92"/>
  <c r="G67" i="92"/>
  <c r="F63" i="92"/>
  <c r="F68" i="92" s="1"/>
  <c r="G69" i="92" l="1"/>
  <c r="G71" i="92" s="1"/>
  <c r="I86" i="92" s="1"/>
  <c r="E69" i="92"/>
  <c r="E71" i="92" s="1"/>
  <c r="D68" i="91"/>
  <c r="F68" i="91" s="1"/>
  <c r="D84" i="91"/>
  <c r="F69" i="92"/>
  <c r="F71" i="92" s="1"/>
  <c r="F86" i="92" s="1"/>
  <c r="D66" i="91" l="1"/>
  <c r="F66" i="91" s="1"/>
  <c r="D65" i="91"/>
  <c r="F65" i="91" s="1"/>
  <c r="E82" i="92"/>
  <c r="E94" i="92" s="1"/>
  <c r="E86" i="92"/>
  <c r="D64" i="91"/>
  <c r="D67" i="91"/>
  <c r="F67" i="91" s="1"/>
  <c r="D80" i="91"/>
  <c r="D92" i="91" s="1"/>
  <c r="E78" i="92"/>
  <c r="E90" i="92" s="1"/>
  <c r="E80" i="92"/>
  <c r="E92" i="92" s="1"/>
  <c r="E81" i="92"/>
  <c r="E93" i="92" s="1"/>
  <c r="E79" i="92"/>
  <c r="E91" i="92" s="1"/>
  <c r="G80" i="92"/>
  <c r="I92" i="92" s="1"/>
  <c r="I97" i="92" s="1"/>
  <c r="G82" i="92"/>
  <c r="I94" i="92" s="1"/>
  <c r="I99" i="92" s="1"/>
  <c r="G78" i="92"/>
  <c r="G79" i="92"/>
  <c r="I91" i="92" s="1"/>
  <c r="I96" i="92" s="1"/>
  <c r="G81" i="92"/>
  <c r="I93" i="92" s="1"/>
  <c r="I98" i="92" s="1"/>
  <c r="F81" i="92"/>
  <c r="F93" i="92" s="1"/>
  <c r="F80" i="92"/>
  <c r="F92" i="92" s="1"/>
  <c r="F78" i="92"/>
  <c r="F90" i="92" s="1"/>
  <c r="F82" i="92"/>
  <c r="F94" i="92" s="1"/>
  <c r="F79" i="92"/>
  <c r="F91" i="92" s="1"/>
  <c r="I90" i="92" l="1"/>
  <c r="I95" i="92" s="1"/>
  <c r="D78" i="91"/>
  <c r="D90" i="91" s="1"/>
  <c r="F64" i="91"/>
  <c r="D76" i="91"/>
  <c r="D88" i="91" s="1"/>
  <c r="D79" i="91"/>
  <c r="D91" i="91" s="1"/>
  <c r="D77" i="91"/>
  <c r="D89" i="91" s="1"/>
  <c r="E55" i="88"/>
  <c r="E54" i="88"/>
  <c r="E53" i="88"/>
  <c r="E52" i="88"/>
  <c r="D55" i="88"/>
  <c r="D54" i="88"/>
  <c r="D53" i="88"/>
  <c r="D52" i="88"/>
  <c r="E50" i="88"/>
  <c r="E49" i="88"/>
  <c r="E48" i="88"/>
  <c r="E47" i="88"/>
  <c r="D50" i="88"/>
  <c r="D49" i="88"/>
  <c r="D48" i="88"/>
  <c r="D47" i="88"/>
  <c r="E45" i="88"/>
  <c r="E44" i="88"/>
  <c r="E43" i="88"/>
  <c r="E42" i="88"/>
  <c r="D45" i="88"/>
  <c r="D44" i="88"/>
  <c r="D43" i="88"/>
  <c r="D42" i="88"/>
  <c r="E35" i="36"/>
  <c r="E34" i="36"/>
  <c r="E33" i="36"/>
  <c r="E32" i="36"/>
  <c r="E30" i="36"/>
  <c r="E29" i="36"/>
  <c r="E28" i="36"/>
  <c r="E27" i="36"/>
  <c r="D35" i="36"/>
  <c r="D34" i="36"/>
  <c r="D33" i="36"/>
  <c r="D32" i="36"/>
  <c r="D31" i="36"/>
  <c r="D30" i="36"/>
  <c r="D29" i="36"/>
  <c r="D28" i="36"/>
  <c r="D27" i="36"/>
  <c r="E33" i="37"/>
  <c r="E32" i="37"/>
  <c r="E31" i="37"/>
  <c r="E30" i="37"/>
  <c r="E28" i="37"/>
  <c r="E27" i="37"/>
  <c r="E26" i="37"/>
  <c r="E25" i="37"/>
  <c r="D33" i="37"/>
  <c r="D32" i="37"/>
  <c r="D31" i="37"/>
  <c r="D30" i="37"/>
  <c r="D28" i="37"/>
  <c r="D27" i="37"/>
  <c r="D26" i="37"/>
  <c r="D25" i="37"/>
  <c r="E36" i="38"/>
  <c r="E35" i="38"/>
  <c r="E34" i="38"/>
  <c r="E33" i="38"/>
  <c r="E31" i="38"/>
  <c r="E30" i="38"/>
  <c r="E29" i="38"/>
  <c r="E28" i="38"/>
  <c r="D36" i="38"/>
  <c r="D35" i="38"/>
  <c r="D34" i="38"/>
  <c r="D33" i="38"/>
  <c r="D31" i="38"/>
  <c r="D30" i="38"/>
  <c r="D29" i="38"/>
  <c r="D28" i="38"/>
  <c r="F57" i="74"/>
  <c r="F56" i="74"/>
  <c r="F55" i="74"/>
  <c r="F54" i="74"/>
  <c r="F53" i="74"/>
  <c r="F52" i="74"/>
  <c r="F51" i="74"/>
  <c r="F50" i="74"/>
  <c r="F49" i="74"/>
  <c r="D57" i="74"/>
  <c r="D56" i="74"/>
  <c r="D55" i="74"/>
  <c r="D54" i="74"/>
  <c r="D52" i="74"/>
  <c r="D51" i="74"/>
  <c r="D50" i="74"/>
  <c r="D49" i="74"/>
  <c r="E35" i="81"/>
  <c r="D35" i="81"/>
  <c r="F77" i="91" l="1"/>
  <c r="F89" i="91" s="1"/>
  <c r="F94" i="91" s="1"/>
  <c r="F76" i="91"/>
  <c r="F88" i="91" s="1"/>
  <c r="F93" i="91" s="1"/>
  <c r="F79" i="91"/>
  <c r="F91" i="91" s="1"/>
  <c r="F96" i="91" s="1"/>
  <c r="F80" i="91"/>
  <c r="F92" i="91" s="1"/>
  <c r="F97" i="91" s="1"/>
  <c r="F78" i="91"/>
  <c r="F90" i="91" s="1"/>
  <c r="F95" i="91" s="1"/>
  <c r="D75" i="74"/>
  <c r="D70" i="74"/>
  <c r="F74" i="74"/>
  <c r="F69" i="74"/>
  <c r="D67" i="74"/>
  <c r="D72" i="74"/>
  <c r="D73" i="74"/>
  <c r="D68" i="74"/>
  <c r="F72" i="74"/>
  <c r="F67" i="74"/>
  <c r="F75" i="74"/>
  <c r="F70" i="74"/>
  <c r="D69" i="74"/>
  <c r="D74" i="74"/>
  <c r="F73" i="74"/>
  <c r="F68" i="74"/>
  <c r="E46" i="44"/>
  <c r="E45" i="44"/>
  <c r="E44" i="44"/>
  <c r="E43" i="44"/>
  <c r="D46" i="44"/>
  <c r="D45" i="44"/>
  <c r="D44" i="44"/>
  <c r="D43" i="44"/>
  <c r="D26" i="36" l="1"/>
  <c r="D46" i="36" s="1"/>
  <c r="D26" i="81"/>
  <c r="D42" i="44"/>
  <c r="D27" i="81"/>
  <c r="D32" i="81"/>
  <c r="D46" i="88" l="1"/>
  <c r="E46" i="88"/>
  <c r="F49" i="88" l="1"/>
  <c r="F46" i="88"/>
  <c r="F48" i="88"/>
  <c r="F50" i="88"/>
  <c r="F47" i="88"/>
  <c r="E38" i="88" l="1"/>
  <c r="F38" i="88"/>
  <c r="D38" i="88"/>
  <c r="E58" i="88"/>
  <c r="E59" i="88"/>
  <c r="E60" i="88"/>
  <c r="E61" i="88"/>
  <c r="E57" i="88"/>
  <c r="D58" i="88"/>
  <c r="D59" i="88"/>
  <c r="D60" i="88"/>
  <c r="D61" i="88"/>
  <c r="D99" i="88" l="1"/>
  <c r="D83" i="88"/>
  <c r="D84" i="88" s="1"/>
  <c r="E83" i="88"/>
  <c r="D28" i="76"/>
  <c r="D37" i="76" l="1"/>
  <c r="D36" i="76"/>
  <c r="D33" i="76"/>
  <c r="E36" i="88" l="1"/>
  <c r="E35" i="88"/>
  <c r="F35" i="88" l="1"/>
  <c r="D112" i="88" l="1"/>
  <c r="D104" i="88"/>
  <c r="D108" i="88"/>
  <c r="D105" i="88"/>
  <c r="D106" i="88"/>
  <c r="D107" i="88"/>
  <c r="F37" i="88"/>
  <c r="F36" i="88"/>
  <c r="F34" i="88"/>
  <c r="F33" i="88"/>
  <c r="F83" i="88" s="1"/>
  <c r="F32" i="88"/>
  <c r="F31" i="88"/>
  <c r="F58" i="88" l="1"/>
  <c r="F59" i="88"/>
  <c r="F60" i="88"/>
  <c r="F61" i="88"/>
  <c r="F57" i="88"/>
  <c r="F67" i="88" l="1"/>
  <c r="F69" i="88" s="1"/>
  <c r="F72" i="88" s="1"/>
  <c r="E67" i="88"/>
  <c r="E69" i="88" s="1"/>
  <c r="E72" i="88" s="1"/>
  <c r="D69" i="88"/>
  <c r="F66" i="88"/>
  <c r="F68" i="88" s="1"/>
  <c r="E66" i="88"/>
  <c r="E68" i="88" s="1"/>
  <c r="E51" i="88"/>
  <c r="D51" i="88"/>
  <c r="E41" i="88"/>
  <c r="F41" i="88" l="1"/>
  <c r="F74" i="88"/>
  <c r="E74" i="88"/>
  <c r="D74" i="88"/>
  <c r="F42" i="88"/>
  <c r="F44" i="88"/>
  <c r="F55" i="88"/>
  <c r="F43" i="88"/>
  <c r="F45" i="88"/>
  <c r="F53" i="88"/>
  <c r="F52" i="88"/>
  <c r="F54" i="88"/>
  <c r="F51" i="88"/>
  <c r="E22" i="76"/>
  <c r="F114" i="88" l="1"/>
  <c r="D103" i="88"/>
  <c r="D101" i="88"/>
  <c r="D100" i="88"/>
  <c r="D116" i="88"/>
  <c r="D102" i="88"/>
  <c r="F71" i="88"/>
  <c r="F73" i="88"/>
  <c r="E73" i="88"/>
  <c r="E78" i="88" s="1"/>
  <c r="D72" i="88"/>
  <c r="D79" i="88" s="1"/>
  <c r="E71" i="88"/>
  <c r="E77" i="88" s="1"/>
  <c r="F113" i="88" l="1"/>
  <c r="F79" i="88"/>
  <c r="F88" i="88" s="1"/>
  <c r="F78" i="88"/>
  <c r="F107" i="88" s="1"/>
  <c r="F77" i="88"/>
  <c r="F80" i="88"/>
  <c r="F93" i="88" s="1"/>
  <c r="E82" i="88"/>
  <c r="E84" i="88" s="1"/>
  <c r="E116" i="88" s="1"/>
  <c r="D88" i="88"/>
  <c r="D80" i="88"/>
  <c r="D93" i="88" s="1"/>
  <c r="E112" i="88"/>
  <c r="E100" i="88"/>
  <c r="E101" i="88"/>
  <c r="E99" i="88"/>
  <c r="E102" i="88"/>
  <c r="E103" i="88"/>
  <c r="E107" i="88"/>
  <c r="E106" i="88"/>
  <c r="E104" i="88"/>
  <c r="E108" i="88"/>
  <c r="E105" i="88"/>
  <c r="E80" i="88"/>
  <c r="E79" i="88"/>
  <c r="F119" i="88" l="1"/>
  <c r="F104" i="88"/>
  <c r="F106" i="88"/>
  <c r="F108" i="88"/>
  <c r="F105" i="88"/>
  <c r="F112" i="88"/>
  <c r="F115" i="88" s="1"/>
  <c r="F99" i="88"/>
  <c r="F92" i="88"/>
  <c r="F89" i="88"/>
  <c r="F90" i="88"/>
  <c r="F91" i="88"/>
  <c r="F94" i="88"/>
  <c r="F95" i="88"/>
  <c r="F96" i="88"/>
  <c r="F97" i="88"/>
  <c r="F100" i="88"/>
  <c r="F82" i="88"/>
  <c r="F84" i="88" s="1"/>
  <c r="F116" i="88" s="1"/>
  <c r="F103" i="88"/>
  <c r="F102" i="88"/>
  <c r="F101" i="88"/>
  <c r="D119" i="88"/>
  <c r="D126" i="88" s="1"/>
  <c r="E95" i="88"/>
  <c r="E93" i="88"/>
  <c r="E94" i="88"/>
  <c r="E97" i="88"/>
  <c r="E96" i="88"/>
  <c r="D94" i="88"/>
  <c r="D97" i="88"/>
  <c r="D96" i="88"/>
  <c r="D95" i="88"/>
  <c r="E89" i="88"/>
  <c r="E91" i="88"/>
  <c r="E88" i="88"/>
  <c r="E90" i="88"/>
  <c r="E92" i="88"/>
  <c r="D89" i="88"/>
  <c r="D90" i="88"/>
  <c r="D92" i="88"/>
  <c r="D91" i="88"/>
  <c r="F126" i="88" l="1"/>
  <c r="F131" i="88" s="1"/>
  <c r="F122" i="88"/>
  <c r="F129" i="88" s="1"/>
  <c r="F134" i="88" s="1"/>
  <c r="F120" i="88"/>
  <c r="F123" i="88"/>
  <c r="F130" i="88" s="1"/>
  <c r="F121" i="88"/>
  <c r="E119" i="88"/>
  <c r="E126" i="88" s="1"/>
  <c r="D122" i="88"/>
  <c r="D129" i="88" s="1"/>
  <c r="E122" i="88"/>
  <c r="E129" i="88" s="1"/>
  <c r="D121" i="88"/>
  <c r="D128" i="88" s="1"/>
  <c r="E121" i="88"/>
  <c r="E128" i="88" s="1"/>
  <c r="D123" i="88"/>
  <c r="D130" i="88" s="1"/>
  <c r="E123" i="88"/>
  <c r="E130" i="88" s="1"/>
  <c r="D120" i="88"/>
  <c r="D127" i="88" s="1"/>
  <c r="E120" i="88"/>
  <c r="E127" i="88" s="1"/>
  <c r="F135" i="88" l="1"/>
  <c r="F127" i="88"/>
  <c r="F132" i="88" s="1"/>
  <c r="F128" i="88"/>
  <c r="F133" i="88" s="1"/>
  <c r="D39" i="81"/>
  <c r="D40" i="81" s="1"/>
  <c r="D52" i="44" l="1"/>
  <c r="E31" i="81"/>
  <c r="F43" i="38" l="1"/>
  <c r="E43" i="38"/>
  <c r="D43" i="38"/>
  <c r="F22" i="76" l="1"/>
  <c r="G22" i="76"/>
  <c r="H22" i="76"/>
  <c r="H28" i="76" s="1"/>
  <c r="I22" i="76"/>
  <c r="H26" i="76"/>
  <c r="H40" i="76" s="1"/>
  <c r="G40" i="76"/>
  <c r="I25" i="76"/>
  <c r="H25" i="76"/>
  <c r="G25" i="76"/>
  <c r="H24" i="76"/>
  <c r="G24" i="76"/>
  <c r="F23" i="76" l="1"/>
  <c r="F27" i="76" s="1"/>
  <c r="F28" i="76"/>
  <c r="I28" i="76"/>
  <c r="I23" i="76"/>
  <c r="I27" i="76" s="1"/>
  <c r="G52" i="76" s="1"/>
  <c r="G33" i="76"/>
  <c r="G37" i="76"/>
  <c r="G41" i="76"/>
  <c r="G35" i="76"/>
  <c r="G39" i="76"/>
  <c r="H35" i="76"/>
  <c r="H39" i="76"/>
  <c r="H33" i="76"/>
  <c r="H37" i="76"/>
  <c r="H41" i="76"/>
  <c r="G32" i="76"/>
  <c r="G34" i="76"/>
  <c r="G36" i="76"/>
  <c r="G38" i="76"/>
  <c r="G28" i="76"/>
  <c r="D78" i="76" s="1"/>
  <c r="H32" i="76"/>
  <c r="H34" i="76"/>
  <c r="H36" i="76"/>
  <c r="H38" i="76"/>
  <c r="I40" i="76"/>
  <c r="G44" i="76"/>
  <c r="H23" i="76"/>
  <c r="H27" i="76" s="1"/>
  <c r="G49" i="76" l="1"/>
  <c r="G43" i="76"/>
  <c r="G51" i="76"/>
  <c r="I41" i="76"/>
  <c r="G50" i="76"/>
  <c r="G45" i="76"/>
  <c r="G46" i="76"/>
  <c r="G47" i="76"/>
  <c r="G48" i="76"/>
  <c r="I33" i="76"/>
  <c r="I36" i="76"/>
  <c r="I32" i="76"/>
  <c r="I54" i="76" s="1"/>
  <c r="I39" i="76"/>
  <c r="I37" i="76"/>
  <c r="I34" i="76"/>
  <c r="I38" i="76"/>
  <c r="I35" i="76"/>
  <c r="H52" i="76"/>
  <c r="I52" i="76" s="1"/>
  <c r="H47" i="76"/>
  <c r="H45" i="76"/>
  <c r="H50" i="76"/>
  <c r="I50" i="76" s="1"/>
  <c r="H48" i="76"/>
  <c r="H43" i="76"/>
  <c r="I43" i="76" s="1"/>
  <c r="I65" i="76" s="1"/>
  <c r="H46" i="76"/>
  <c r="H44" i="76"/>
  <c r="I44" i="76" s="1"/>
  <c r="H51" i="76"/>
  <c r="H49" i="76"/>
  <c r="I49" i="76" s="1"/>
  <c r="I51" i="76" l="1"/>
  <c r="I45" i="76"/>
  <c r="I46" i="76"/>
  <c r="I48" i="76"/>
  <c r="I47" i="76"/>
  <c r="E26" i="81" l="1"/>
  <c r="D34" i="81"/>
  <c r="E33" i="81"/>
  <c r="D33" i="81"/>
  <c r="E34" i="81"/>
  <c r="D31" i="81"/>
  <c r="E32" i="81"/>
  <c r="D62" i="81" l="1"/>
  <c r="D63" i="81"/>
  <c r="F31" i="81"/>
  <c r="E63" i="81"/>
  <c r="F34" i="81"/>
  <c r="F65" i="81" s="1"/>
  <c r="D65" i="81"/>
  <c r="E64" i="81"/>
  <c r="F33" i="81"/>
  <c r="F64" i="81" s="1"/>
  <c r="D64" i="81"/>
  <c r="E65" i="81"/>
  <c r="D66" i="81"/>
  <c r="F35" i="81"/>
  <c r="F66" i="81" s="1"/>
  <c r="F32" i="81"/>
  <c r="E62" i="81"/>
  <c r="E66" i="81"/>
  <c r="C139" i="82" l="1"/>
  <c r="C123" i="82"/>
  <c r="E35" i="82" l="1"/>
  <c r="E54" i="82" s="1"/>
  <c r="F35" i="82"/>
  <c r="G35" i="82"/>
  <c r="G54" i="82" s="1"/>
  <c r="I35" i="82"/>
  <c r="J35" i="82"/>
  <c r="K35" i="82"/>
  <c r="L35" i="82"/>
  <c r="G56" i="82" l="1"/>
  <c r="G58" i="82" s="1"/>
  <c r="H51" i="74" l="1"/>
  <c r="H49" i="74"/>
  <c r="H55" i="74"/>
  <c r="H57" i="74"/>
  <c r="H52" i="74"/>
  <c r="H50" i="74"/>
  <c r="H56" i="74"/>
  <c r="H54" i="74"/>
  <c r="E19" i="49"/>
  <c r="D20" i="49"/>
  <c r="F39" i="20"/>
  <c r="E42" i="44"/>
  <c r="E29" i="81"/>
  <c r="E27" i="81"/>
  <c r="E28" i="81"/>
  <c r="D28" i="81"/>
  <c r="D29" i="81"/>
  <c r="E25" i="81"/>
  <c r="F25" i="81" s="1"/>
  <c r="F46" i="44"/>
  <c r="F80" i="20" l="1"/>
  <c r="D34" i="49"/>
  <c r="D35" i="49" s="1"/>
  <c r="E34" i="49"/>
  <c r="E35" i="49" s="1"/>
  <c r="F19" i="49"/>
  <c r="F28" i="81"/>
  <c r="F45" i="44"/>
  <c r="F44" i="44"/>
  <c r="F43" i="44"/>
  <c r="F42" i="44"/>
  <c r="F42" i="75"/>
  <c r="F46" i="75"/>
  <c r="F43" i="75"/>
  <c r="F44" i="75"/>
  <c r="F45" i="75"/>
  <c r="F20" i="49"/>
  <c r="F42" i="38"/>
  <c r="F41" i="38"/>
  <c r="F40" i="38"/>
  <c r="F20" i="37"/>
  <c r="F37" i="37" s="1"/>
  <c r="F38" i="37" s="1"/>
  <c r="F40" i="37" s="1"/>
  <c r="F54" i="37" s="1"/>
  <c r="F43" i="36"/>
  <c r="F40" i="36"/>
  <c r="F39" i="36"/>
  <c r="F25" i="76"/>
  <c r="F24" i="76"/>
  <c r="F46" i="20"/>
  <c r="F48" i="20" s="1"/>
  <c r="F50" i="20" s="1"/>
  <c r="F18" i="81"/>
  <c r="F19" i="81"/>
  <c r="F20" i="81"/>
  <c r="F63" i="81" s="1"/>
  <c r="F17" i="81"/>
  <c r="F39" i="81" l="1"/>
  <c r="F40" i="81" s="1"/>
  <c r="F62" i="81"/>
  <c r="F68" i="81" s="1"/>
  <c r="F34" i="49"/>
  <c r="F35" i="49" s="1"/>
  <c r="F47" i="49" s="1"/>
  <c r="F53" i="49" s="1"/>
  <c r="D50" i="20"/>
  <c r="E50" i="20"/>
  <c r="D41" i="81"/>
  <c r="D47" i="81"/>
  <c r="F41" i="36"/>
  <c r="F42" i="36" s="1"/>
  <c r="F44" i="36" s="1"/>
  <c r="E31" i="36"/>
  <c r="E32" i="38"/>
  <c r="E29" i="37"/>
  <c r="F48" i="74"/>
  <c r="E27" i="38"/>
  <c r="I78" i="76"/>
  <c r="F44" i="38"/>
  <c r="F45" i="38"/>
  <c r="F42" i="20"/>
  <c r="E42" i="38"/>
  <c r="D42" i="38"/>
  <c r="D45" i="38" s="1"/>
  <c r="E40" i="38"/>
  <c r="E41" i="38"/>
  <c r="D41" i="38"/>
  <c r="D40" i="38"/>
  <c r="E39" i="36"/>
  <c r="E40" i="36"/>
  <c r="D40" i="36"/>
  <c r="D41" i="36" s="1"/>
  <c r="D42" i="36" s="1"/>
  <c r="E39" i="37"/>
  <c r="E20" i="37"/>
  <c r="E37" i="37" s="1"/>
  <c r="E38" i="37" s="1"/>
  <c r="E40" i="37" s="1"/>
  <c r="F26" i="81"/>
  <c r="E39" i="81"/>
  <c r="E40" i="81" s="1"/>
  <c r="F27" i="81"/>
  <c r="F29" i="81"/>
  <c r="F41" i="81" l="1"/>
  <c r="F47" i="81"/>
  <c r="F73" i="81" s="1"/>
  <c r="F46" i="81"/>
  <c r="D53" i="20"/>
  <c r="D65" i="20" s="1"/>
  <c r="D55" i="20"/>
  <c r="D67" i="20" s="1"/>
  <c r="D54" i="20"/>
  <c r="D66" i="20" s="1"/>
  <c r="D57" i="20"/>
  <c r="D69" i="20" s="1"/>
  <c r="D56" i="20"/>
  <c r="D68" i="20" s="1"/>
  <c r="F43" i="20"/>
  <c r="F59" i="36"/>
  <c r="F51" i="81"/>
  <c r="F56" i="81" s="1"/>
  <c r="F46" i="38"/>
  <c r="F48" i="38" s="1"/>
  <c r="F47" i="38"/>
  <c r="F49" i="38" s="1"/>
  <c r="F72" i="81"/>
  <c r="F77" i="81" s="1"/>
  <c r="F71" i="81"/>
  <c r="F76" i="81" s="1"/>
  <c r="E41" i="81"/>
  <c r="E47" i="81"/>
  <c r="D50" i="81"/>
  <c r="D68" i="81" s="1"/>
  <c r="D52" i="81"/>
  <c r="D51" i="81"/>
  <c r="D54" i="81"/>
  <c r="D72" i="81" s="1"/>
  <c r="D53" i="81"/>
  <c r="D44" i="38"/>
  <c r="D46" i="38" s="1"/>
  <c r="D48" i="38" s="1"/>
  <c r="D53" i="38" s="1"/>
  <c r="F66" i="74"/>
  <c r="F71" i="74"/>
  <c r="D44" i="36"/>
  <c r="E47" i="37"/>
  <c r="E48" i="37"/>
  <c r="E49" i="37"/>
  <c r="E50" i="37"/>
  <c r="E46" i="37"/>
  <c r="E41" i="37"/>
  <c r="E45" i="37"/>
  <c r="E42" i="37"/>
  <c r="E44" i="37"/>
  <c r="E43" i="37"/>
  <c r="E60" i="37" s="1"/>
  <c r="E45" i="38"/>
  <c r="E47" i="38" s="1"/>
  <c r="E49" i="38" s="1"/>
  <c r="E44" i="38"/>
  <c r="E46" i="38" s="1"/>
  <c r="E48" i="38" s="1"/>
  <c r="E54" i="37"/>
  <c r="F50" i="81" l="1"/>
  <c r="F55" i="81" s="1"/>
  <c r="F54" i="81"/>
  <c r="F59" i="81" s="1"/>
  <c r="F70" i="81"/>
  <c r="F75" i="81" s="1"/>
  <c r="F53" i="81"/>
  <c r="F58" i="81" s="1"/>
  <c r="F52" i="81"/>
  <c r="F57" i="81" s="1"/>
  <c r="F69" i="81"/>
  <c r="F74" i="81" s="1"/>
  <c r="F64" i="38"/>
  <c r="F44" i="20"/>
  <c r="F47" i="20" s="1"/>
  <c r="F49" i="20" s="1"/>
  <c r="E51" i="81"/>
  <c r="E52" i="81"/>
  <c r="E50" i="81"/>
  <c r="E53" i="81"/>
  <c r="E54" i="81"/>
  <c r="D52" i="38"/>
  <c r="D59" i="36"/>
  <c r="D51" i="36"/>
  <c r="D63" i="36" s="1"/>
  <c r="E58" i="37"/>
  <c r="E59" i="37"/>
  <c r="E61" i="37"/>
  <c r="F33" i="38"/>
  <c r="F30" i="37"/>
  <c r="F32" i="36"/>
  <c r="F33" i="36"/>
  <c r="F34" i="38"/>
  <c r="F31" i="37"/>
  <c r="F31" i="38"/>
  <c r="F28" i="37"/>
  <c r="E62" i="37"/>
  <c r="D29" i="37"/>
  <c r="F29" i="37" s="1"/>
  <c r="D53" i="74"/>
  <c r="D32" i="38"/>
  <c r="F32" i="38" s="1"/>
  <c r="F31" i="36"/>
  <c r="F27" i="37"/>
  <c r="F30" i="38"/>
  <c r="D27" i="38"/>
  <c r="F27" i="38" s="1"/>
  <c r="F56" i="38" s="1"/>
  <c r="D24" i="37"/>
  <c r="D48" i="74"/>
  <c r="H48" i="74" s="1"/>
  <c r="F34" i="36"/>
  <c r="F32" i="37"/>
  <c r="F35" i="38"/>
  <c r="F28" i="38"/>
  <c r="F25" i="37"/>
  <c r="F29" i="38"/>
  <c r="F53" i="38" s="1"/>
  <c r="F26" i="37"/>
  <c r="F36" i="38"/>
  <c r="F60" i="38" s="1"/>
  <c r="F35" i="36"/>
  <c r="F33" i="37"/>
  <c r="E51" i="38"/>
  <c r="E53" i="38"/>
  <c r="E54" i="38"/>
  <c r="E55" i="38"/>
  <c r="E52" i="38"/>
  <c r="E60" i="38"/>
  <c r="E58" i="38"/>
  <c r="E56" i="38"/>
  <c r="E59" i="38"/>
  <c r="E57" i="38"/>
  <c r="E49" i="49"/>
  <c r="E55" i="49" s="1"/>
  <c r="E47" i="49"/>
  <c r="E53" i="49" s="1"/>
  <c r="E64" i="38"/>
  <c r="F59" i="38" l="1"/>
  <c r="F55" i="38"/>
  <c r="F57" i="38"/>
  <c r="F58" i="38"/>
  <c r="F52" i="38"/>
  <c r="F54" i="38"/>
  <c r="F51" i="38"/>
  <c r="F51" i="20"/>
  <c r="F79" i="20"/>
  <c r="F24" i="37"/>
  <c r="F41" i="37" s="1"/>
  <c r="D41" i="37"/>
  <c r="D51" i="38"/>
  <c r="D66" i="74"/>
  <c r="H53" i="74"/>
  <c r="H66" i="74" s="1"/>
  <c r="D71" i="74"/>
  <c r="E68" i="38"/>
  <c r="E71" i="38"/>
  <c r="F44" i="37"/>
  <c r="F49" i="37"/>
  <c r="E70" i="38"/>
  <c r="F28" i="36"/>
  <c r="F43" i="37"/>
  <c r="F48" i="37"/>
  <c r="E69" i="38"/>
  <c r="F42" i="37"/>
  <c r="F47" i="37"/>
  <c r="F26" i="36"/>
  <c r="F45" i="37"/>
  <c r="F50" i="37"/>
  <c r="F27" i="36"/>
  <c r="F29" i="36"/>
  <c r="F30" i="36"/>
  <c r="E72" i="38"/>
  <c r="L54" i="82"/>
  <c r="K54" i="82"/>
  <c r="J54" i="82"/>
  <c r="I54" i="82"/>
  <c r="F54" i="82"/>
  <c r="D54" i="82"/>
  <c r="L50" i="82"/>
  <c r="L52" i="82" s="1"/>
  <c r="K50" i="82"/>
  <c r="K52" i="82" s="1"/>
  <c r="J50" i="82"/>
  <c r="J52" i="82" s="1"/>
  <c r="I50" i="82"/>
  <c r="G50" i="82"/>
  <c r="F52" i="82"/>
  <c r="E52" i="82"/>
  <c r="E55" i="82" s="1"/>
  <c r="D52" i="82"/>
  <c r="L51" i="82"/>
  <c r="L53" i="82" s="1"/>
  <c r="I49" i="82"/>
  <c r="F46" i="36" l="1"/>
  <c r="F51" i="36"/>
  <c r="F50" i="36"/>
  <c r="F55" i="36"/>
  <c r="E51" i="20"/>
  <c r="D51" i="20"/>
  <c r="F61" i="37"/>
  <c r="F66" i="37" s="1"/>
  <c r="F49" i="36"/>
  <c r="F54" i="36"/>
  <c r="F47" i="36"/>
  <c r="F52" i="36"/>
  <c r="F48" i="36"/>
  <c r="F53" i="36"/>
  <c r="G52" i="82"/>
  <c r="G55" i="82" s="1"/>
  <c r="G57" i="82" s="1"/>
  <c r="G46" i="82"/>
  <c r="F62" i="37"/>
  <c r="F67" i="37" s="1"/>
  <c r="F60" i="37"/>
  <c r="F65" i="37" s="1"/>
  <c r="F59" i="37"/>
  <c r="F64" i="37" s="1"/>
  <c r="F46" i="37"/>
  <c r="F58" i="37" s="1"/>
  <c r="F63" i="37" s="1"/>
  <c r="I52" i="82"/>
  <c r="I55" i="82" s="1"/>
  <c r="I57" i="82" s="1"/>
  <c r="I156" i="82"/>
  <c r="K51" i="82"/>
  <c r="K159" i="82" s="1"/>
  <c r="D83" i="74"/>
  <c r="H68" i="74"/>
  <c r="H73" i="74"/>
  <c r="H67" i="74"/>
  <c r="H72" i="74"/>
  <c r="H70" i="74"/>
  <c r="H75" i="74"/>
  <c r="H69" i="74"/>
  <c r="H74" i="74"/>
  <c r="H71" i="74"/>
  <c r="H83" i="74" s="1"/>
  <c r="I88" i="74" s="1"/>
  <c r="G160" i="82"/>
  <c r="G159" i="82"/>
  <c r="G161" i="82"/>
  <c r="E157" i="82"/>
  <c r="E158" i="82"/>
  <c r="J156" i="82"/>
  <c r="J157" i="82"/>
  <c r="J158" i="82"/>
  <c r="L159" i="82"/>
  <c r="L161" i="82"/>
  <c r="L160" i="82"/>
  <c r="F157" i="82"/>
  <c r="F158" i="82"/>
  <c r="K157" i="82"/>
  <c r="K156" i="82"/>
  <c r="K158" i="82"/>
  <c r="D158" i="82"/>
  <c r="D157" i="82"/>
  <c r="I158" i="82"/>
  <c r="I157" i="82"/>
  <c r="F161" i="82"/>
  <c r="F159" i="82"/>
  <c r="F160" i="82"/>
  <c r="G158" i="82"/>
  <c r="G157" i="82"/>
  <c r="G156" i="82"/>
  <c r="L158" i="82"/>
  <c r="L157" i="82"/>
  <c r="L156" i="82"/>
  <c r="F72" i="38"/>
  <c r="F77" i="38" s="1"/>
  <c r="F69" i="38"/>
  <c r="F74" i="38" s="1"/>
  <c r="D86" i="74"/>
  <c r="F68" i="38"/>
  <c r="F73" i="38" s="1"/>
  <c r="F83" i="74"/>
  <c r="D87" i="74"/>
  <c r="F70" i="38"/>
  <c r="F75" i="38" s="1"/>
  <c r="D84" i="74"/>
  <c r="F71" i="38"/>
  <c r="F76" i="38" s="1"/>
  <c r="D85" i="74"/>
  <c r="F55" i="82"/>
  <c r="F57" i="82" s="1"/>
  <c r="F56" i="82"/>
  <c r="F58" i="82" s="1"/>
  <c r="J55" i="82"/>
  <c r="J57" i="82" s="1"/>
  <c r="E57" i="82"/>
  <c r="L46" i="82"/>
  <c r="J47" i="82" s="1"/>
  <c r="J48" i="82" s="1"/>
  <c r="K55" i="82"/>
  <c r="K57" i="82" s="1"/>
  <c r="L55" i="82"/>
  <c r="L57" i="82" s="1"/>
  <c r="L56" i="82"/>
  <c r="L58" i="82" s="1"/>
  <c r="D55" i="82"/>
  <c r="D57" i="82" s="1"/>
  <c r="E47" i="82" l="1"/>
  <c r="E48" i="82" s="1"/>
  <c r="E51" i="82" s="1"/>
  <c r="K46" i="82"/>
  <c r="I47" i="82" s="1"/>
  <c r="I48" i="82" s="1"/>
  <c r="I51" i="82" s="1"/>
  <c r="I159" i="82" s="1"/>
  <c r="D92" i="82"/>
  <c r="K160" i="82"/>
  <c r="J51" i="82"/>
  <c r="J159" i="82" s="1"/>
  <c r="K161" i="82"/>
  <c r="K53" i="82"/>
  <c r="K56" i="82" s="1"/>
  <c r="K58" i="82" s="1"/>
  <c r="K122" i="82" s="1"/>
  <c r="D60" i="82"/>
  <c r="L122" i="82"/>
  <c r="L120" i="82"/>
  <c r="L118" i="82"/>
  <c r="L116" i="82"/>
  <c r="L114" i="82"/>
  <c r="L112" i="82"/>
  <c r="L110" i="82"/>
  <c r="L108" i="82"/>
  <c r="L89" i="82"/>
  <c r="L87" i="82"/>
  <c r="L85" i="82"/>
  <c r="L83" i="82"/>
  <c r="L81" i="82"/>
  <c r="L79" i="82"/>
  <c r="L77" i="82"/>
  <c r="L119" i="82"/>
  <c r="L115" i="82"/>
  <c r="L111" i="82"/>
  <c r="L90" i="82"/>
  <c r="L86" i="82"/>
  <c r="L82" i="82"/>
  <c r="L78" i="82"/>
  <c r="L121" i="82"/>
  <c r="L117" i="82"/>
  <c r="L113" i="82"/>
  <c r="L109" i="82"/>
  <c r="L88" i="82"/>
  <c r="L84" i="82"/>
  <c r="L80" i="82"/>
  <c r="L76" i="82"/>
  <c r="G121" i="82"/>
  <c r="G119" i="82"/>
  <c r="G117" i="82"/>
  <c r="G115" i="82"/>
  <c r="G113" i="82"/>
  <c r="G111" i="82"/>
  <c r="G109" i="82"/>
  <c r="G90" i="82"/>
  <c r="G88" i="82"/>
  <c r="G86" i="82"/>
  <c r="G84" i="82"/>
  <c r="G82" i="82"/>
  <c r="G80" i="82"/>
  <c r="G78" i="82"/>
  <c r="G76" i="82"/>
  <c r="G122" i="82"/>
  <c r="G120" i="82"/>
  <c r="G118" i="82"/>
  <c r="G116" i="82"/>
  <c r="G114" i="82"/>
  <c r="G112" i="82"/>
  <c r="G110" i="82"/>
  <c r="G108" i="82"/>
  <c r="G89" i="82"/>
  <c r="G87" i="82"/>
  <c r="G85" i="82"/>
  <c r="G83" i="82"/>
  <c r="G81" i="82"/>
  <c r="G79" i="82"/>
  <c r="G77" i="82"/>
  <c r="F122" i="82"/>
  <c r="F118" i="82"/>
  <c r="F114" i="82"/>
  <c r="F110" i="82"/>
  <c r="F89" i="82"/>
  <c r="F85" i="82"/>
  <c r="F81" i="82"/>
  <c r="F77" i="82"/>
  <c r="F119" i="82"/>
  <c r="F115" i="82"/>
  <c r="F111" i="82"/>
  <c r="F90" i="82"/>
  <c r="F86" i="82"/>
  <c r="F82" i="82"/>
  <c r="F78" i="82"/>
  <c r="F120" i="82"/>
  <c r="F116" i="82"/>
  <c r="F112" i="82"/>
  <c r="F108" i="82"/>
  <c r="F87" i="82"/>
  <c r="F83" i="82"/>
  <c r="F79" i="82"/>
  <c r="F121" i="82"/>
  <c r="F117" i="82"/>
  <c r="F113" i="82"/>
  <c r="F109" i="82"/>
  <c r="F88" i="82"/>
  <c r="F84" i="82"/>
  <c r="F80" i="82"/>
  <c r="F76" i="82"/>
  <c r="D159" i="82"/>
  <c r="D161" i="82"/>
  <c r="D160" i="82"/>
  <c r="D56" i="82"/>
  <c r="D58" i="82" s="1"/>
  <c r="D118" i="82" s="1"/>
  <c r="D106" i="82"/>
  <c r="D105" i="82"/>
  <c r="D104" i="82"/>
  <c r="D103" i="82"/>
  <c r="D102" i="82"/>
  <c r="D101" i="82"/>
  <c r="D100" i="82"/>
  <c r="D99" i="82"/>
  <c r="D98" i="82"/>
  <c r="D97" i="82"/>
  <c r="D96" i="82"/>
  <c r="D95" i="82"/>
  <c r="D94" i="82"/>
  <c r="D93" i="82"/>
  <c r="L106" i="82"/>
  <c r="L104" i="82"/>
  <c r="L102" i="82"/>
  <c r="L100" i="82"/>
  <c r="L98" i="82"/>
  <c r="L96" i="82"/>
  <c r="L94" i="82"/>
  <c r="L92" i="82"/>
  <c r="L105" i="82"/>
  <c r="L101" i="82"/>
  <c r="L97" i="82"/>
  <c r="L93" i="82"/>
  <c r="L103" i="82"/>
  <c r="L99" i="82"/>
  <c r="L95" i="82"/>
  <c r="K106" i="82"/>
  <c r="K104" i="82"/>
  <c r="K102" i="82"/>
  <c r="K100" i="82"/>
  <c r="K98" i="82"/>
  <c r="K96" i="82"/>
  <c r="K94" i="82"/>
  <c r="K92" i="82"/>
  <c r="K103" i="82"/>
  <c r="K99" i="82"/>
  <c r="K95" i="82"/>
  <c r="K105" i="82"/>
  <c r="K101" i="82"/>
  <c r="K97" i="82"/>
  <c r="K93" i="82"/>
  <c r="E106" i="82"/>
  <c r="E104" i="82"/>
  <c r="E102" i="82"/>
  <c r="E100" i="82"/>
  <c r="E98" i="82"/>
  <c r="E96" i="82"/>
  <c r="E94" i="82"/>
  <c r="E92" i="82"/>
  <c r="E105" i="82"/>
  <c r="E101" i="82"/>
  <c r="E97" i="82"/>
  <c r="E93" i="82"/>
  <c r="E103" i="82"/>
  <c r="E99" i="82"/>
  <c r="E95" i="82"/>
  <c r="J105" i="82"/>
  <c r="J103" i="82"/>
  <c r="J101" i="82"/>
  <c r="J99" i="82"/>
  <c r="J97" i="82"/>
  <c r="J95" i="82"/>
  <c r="J93" i="82"/>
  <c r="J104" i="82"/>
  <c r="J100" i="82"/>
  <c r="J96" i="82"/>
  <c r="J92" i="82"/>
  <c r="J106" i="82"/>
  <c r="J102" i="82"/>
  <c r="J98" i="82"/>
  <c r="J94" i="82"/>
  <c r="I106" i="82"/>
  <c r="I105" i="82"/>
  <c r="I104" i="82"/>
  <c r="I103" i="82"/>
  <c r="I102" i="82"/>
  <c r="I101" i="82"/>
  <c r="I100" i="82"/>
  <c r="I99" i="82"/>
  <c r="I98" i="82"/>
  <c r="I97" i="82"/>
  <c r="I96" i="82"/>
  <c r="I95" i="82"/>
  <c r="I94" i="82"/>
  <c r="I93" i="82"/>
  <c r="I92" i="82"/>
  <c r="G105" i="82"/>
  <c r="G103" i="82"/>
  <c r="G101" i="82"/>
  <c r="G99" i="82"/>
  <c r="G97" i="82"/>
  <c r="G95" i="82"/>
  <c r="G93" i="82"/>
  <c r="G106" i="82"/>
  <c r="G102" i="82"/>
  <c r="G98" i="82"/>
  <c r="G94" i="82"/>
  <c r="G104" i="82"/>
  <c r="G100" i="82"/>
  <c r="G96" i="82"/>
  <c r="G92" i="82"/>
  <c r="F106" i="82"/>
  <c r="F104" i="82"/>
  <c r="F102" i="82"/>
  <c r="F100" i="82"/>
  <c r="F98" i="82"/>
  <c r="F96" i="82"/>
  <c r="F94" i="82"/>
  <c r="F92" i="82"/>
  <c r="F103" i="82"/>
  <c r="F99" i="82"/>
  <c r="F95" i="82"/>
  <c r="F105" i="82"/>
  <c r="F101" i="82"/>
  <c r="F97" i="82"/>
  <c r="F93" i="82"/>
  <c r="D71" i="82"/>
  <c r="D67" i="82"/>
  <c r="D63" i="82"/>
  <c r="D74" i="82"/>
  <c r="D70" i="82"/>
  <c r="D66" i="82"/>
  <c r="D62" i="82"/>
  <c r="D73" i="82"/>
  <c r="D69" i="82"/>
  <c r="D65" i="82"/>
  <c r="D61" i="82"/>
  <c r="D72" i="82"/>
  <c r="D68" i="82"/>
  <c r="D64" i="82"/>
  <c r="L62" i="82"/>
  <c r="L66" i="82"/>
  <c r="L70" i="82"/>
  <c r="L74" i="82"/>
  <c r="L61" i="82"/>
  <c r="L65" i="82"/>
  <c r="L69" i="82"/>
  <c r="L73" i="82"/>
  <c r="L60" i="82"/>
  <c r="L64" i="82"/>
  <c r="L68" i="82"/>
  <c r="L72" i="82"/>
  <c r="L63" i="82"/>
  <c r="L67" i="82"/>
  <c r="L71" i="82"/>
  <c r="K61" i="82"/>
  <c r="K65" i="82"/>
  <c r="K69" i="82"/>
  <c r="K73" i="82"/>
  <c r="K60" i="82"/>
  <c r="K64" i="82"/>
  <c r="K68" i="82"/>
  <c r="K72" i="82"/>
  <c r="K63" i="82"/>
  <c r="K67" i="82"/>
  <c r="K71" i="82"/>
  <c r="K62" i="82"/>
  <c r="K66" i="82"/>
  <c r="K70" i="82"/>
  <c r="K74" i="82"/>
  <c r="E60" i="82"/>
  <c r="E64" i="82"/>
  <c r="E68" i="82"/>
  <c r="E72" i="82"/>
  <c r="E63" i="82"/>
  <c r="E67" i="82"/>
  <c r="E71" i="82"/>
  <c r="E62" i="82"/>
  <c r="E66" i="82"/>
  <c r="E70" i="82"/>
  <c r="E74" i="82"/>
  <c r="E61" i="82"/>
  <c r="E65" i="82"/>
  <c r="E69" i="82"/>
  <c r="E73" i="82"/>
  <c r="J60" i="82"/>
  <c r="J64" i="82"/>
  <c r="J68" i="82"/>
  <c r="J72" i="82"/>
  <c r="J63" i="82"/>
  <c r="J67" i="82"/>
  <c r="J71" i="82"/>
  <c r="J62" i="82"/>
  <c r="J66" i="82"/>
  <c r="J70" i="82"/>
  <c r="J74" i="82"/>
  <c r="J61" i="82"/>
  <c r="J65" i="82"/>
  <c r="J69" i="82"/>
  <c r="J73" i="82"/>
  <c r="I63" i="82"/>
  <c r="I67" i="82"/>
  <c r="I71" i="82"/>
  <c r="I62" i="82"/>
  <c r="I66" i="82"/>
  <c r="I70" i="82"/>
  <c r="I74" i="82"/>
  <c r="I61" i="82"/>
  <c r="I65" i="82"/>
  <c r="I69" i="82"/>
  <c r="I73" i="82"/>
  <c r="I60" i="82"/>
  <c r="I64" i="82"/>
  <c r="I68" i="82"/>
  <c r="I72" i="82"/>
  <c r="G62" i="82"/>
  <c r="G66" i="82"/>
  <c r="G70" i="82"/>
  <c r="G74" i="82"/>
  <c r="G61" i="82"/>
  <c r="G65" i="82"/>
  <c r="G69" i="82"/>
  <c r="G73" i="82"/>
  <c r="G60" i="82"/>
  <c r="G64" i="82"/>
  <c r="G68" i="82"/>
  <c r="G72" i="82"/>
  <c r="G63" i="82"/>
  <c r="G67" i="82"/>
  <c r="G71" i="82"/>
  <c r="F61" i="82"/>
  <c r="F65" i="82"/>
  <c r="F69" i="82"/>
  <c r="F73" i="82"/>
  <c r="F60" i="82"/>
  <c r="F64" i="82"/>
  <c r="F68" i="82"/>
  <c r="F72" i="82"/>
  <c r="F63" i="82"/>
  <c r="F67" i="82"/>
  <c r="F71" i="82"/>
  <c r="F62" i="82"/>
  <c r="F66" i="82"/>
  <c r="F70" i="82"/>
  <c r="F74" i="82"/>
  <c r="F67" i="36"/>
  <c r="F72" i="36" s="1"/>
  <c r="H85" i="74"/>
  <c r="I90" i="74" s="1"/>
  <c r="F86" i="74"/>
  <c r="F66" i="36"/>
  <c r="F71" i="36" s="1"/>
  <c r="H87" i="74"/>
  <c r="I92" i="74" s="1"/>
  <c r="F84" i="74"/>
  <c r="F87" i="74"/>
  <c r="F63" i="36"/>
  <c r="F68" i="36" s="1"/>
  <c r="F64" i="36"/>
  <c r="F69" i="36" s="1"/>
  <c r="F85" i="74"/>
  <c r="H86" i="74"/>
  <c r="I91" i="74" s="1"/>
  <c r="F65" i="36"/>
  <c r="F70" i="36" s="1"/>
  <c r="H84" i="74"/>
  <c r="I89" i="74" s="1"/>
  <c r="I160" i="82" l="1"/>
  <c r="I53" i="82"/>
  <c r="I56" i="82" s="1"/>
  <c r="I58" i="82" s="1"/>
  <c r="I117" i="82" s="1"/>
  <c r="E53" i="82"/>
  <c r="E56" i="82" s="1"/>
  <c r="E58" i="82" s="1"/>
  <c r="E116" i="82" s="1"/>
  <c r="E160" i="82"/>
  <c r="E161" i="82"/>
  <c r="E159" i="82"/>
  <c r="D124" i="82"/>
  <c r="D163" i="82" s="1"/>
  <c r="K89" i="82"/>
  <c r="I161" i="82"/>
  <c r="K113" i="82"/>
  <c r="K85" i="82"/>
  <c r="K79" i="82"/>
  <c r="K119" i="82"/>
  <c r="K108" i="82"/>
  <c r="J160" i="82"/>
  <c r="K82" i="82"/>
  <c r="K111" i="82"/>
  <c r="K121" i="82"/>
  <c r="K77" i="82"/>
  <c r="K87" i="82"/>
  <c r="K116" i="82"/>
  <c r="J161" i="82"/>
  <c r="K78" i="82"/>
  <c r="K83" i="82"/>
  <c r="K90" i="82"/>
  <c r="K154" i="82" s="1"/>
  <c r="K193" i="82" s="1"/>
  <c r="K112" i="82"/>
  <c r="K117" i="82"/>
  <c r="K149" i="82" s="1"/>
  <c r="K188" i="82" s="1"/>
  <c r="K76" i="82"/>
  <c r="K81" i="82"/>
  <c r="K86" i="82"/>
  <c r="K109" i="82"/>
  <c r="K115" i="82"/>
  <c r="K120" i="82"/>
  <c r="K80" i="82"/>
  <c r="K144" i="82" s="1"/>
  <c r="K183" i="82" s="1"/>
  <c r="K84" i="82"/>
  <c r="K88" i="82"/>
  <c r="K110" i="82"/>
  <c r="K114" i="82"/>
  <c r="K118" i="82"/>
  <c r="J53" i="82"/>
  <c r="J56" i="82" s="1"/>
  <c r="J58" i="82" s="1"/>
  <c r="J120" i="82" s="1"/>
  <c r="K128" i="82"/>
  <c r="K167" i="82" s="1"/>
  <c r="D113" i="82"/>
  <c r="F148" i="82"/>
  <c r="F187" i="82" s="1"/>
  <c r="D109" i="82"/>
  <c r="L147" i="82"/>
  <c r="L186" i="82" s="1"/>
  <c r="E133" i="82"/>
  <c r="E172" i="82" s="1"/>
  <c r="E131" i="82"/>
  <c r="E170" i="82" s="1"/>
  <c r="L136" i="82"/>
  <c r="L175" i="82" s="1"/>
  <c r="D127" i="82"/>
  <c r="D166" i="82" s="1"/>
  <c r="F143" i="82"/>
  <c r="F182" i="82" s="1"/>
  <c r="F146" i="82"/>
  <c r="F185" i="82" s="1"/>
  <c r="L133" i="82"/>
  <c r="L172" i="82" s="1"/>
  <c r="D131" i="82"/>
  <c r="D170" i="82" s="1"/>
  <c r="I131" i="82"/>
  <c r="I170" i="82" s="1"/>
  <c r="D135" i="82"/>
  <c r="D174" i="82" s="1"/>
  <c r="J136" i="82"/>
  <c r="J175" i="82" s="1"/>
  <c r="I138" i="82"/>
  <c r="I177" i="82" s="1"/>
  <c r="G143" i="82"/>
  <c r="G182" i="82" s="1"/>
  <c r="I128" i="82"/>
  <c r="I167" i="82" s="1"/>
  <c r="F141" i="82"/>
  <c r="F180" i="82" s="1"/>
  <c r="F134" i="82"/>
  <c r="F173" i="82" s="1"/>
  <c r="G125" i="82"/>
  <c r="G164" i="82" s="1"/>
  <c r="G126" i="82"/>
  <c r="G165" i="82" s="1"/>
  <c r="I125" i="82"/>
  <c r="I164" i="82" s="1"/>
  <c r="I126" i="82"/>
  <c r="I165" i="82" s="1"/>
  <c r="J137" i="82"/>
  <c r="J176" i="82" s="1"/>
  <c r="J138" i="82"/>
  <c r="J177" i="82" s="1"/>
  <c r="J132" i="82"/>
  <c r="J171" i="82" s="1"/>
  <c r="E134" i="82"/>
  <c r="E173" i="82" s="1"/>
  <c r="K125" i="82"/>
  <c r="K164" i="82" s="1"/>
  <c r="D125" i="82"/>
  <c r="D164" i="82" s="1"/>
  <c r="D126" i="82"/>
  <c r="D165" i="82" s="1"/>
  <c r="D76" i="82"/>
  <c r="L137" i="82"/>
  <c r="L176" i="82" s="1"/>
  <c r="J128" i="82"/>
  <c r="J167" i="82" s="1"/>
  <c r="F151" i="82"/>
  <c r="F190" i="82" s="1"/>
  <c r="G149" i="82"/>
  <c r="G188" i="82" s="1"/>
  <c r="L142" i="82"/>
  <c r="L181" i="82" s="1"/>
  <c r="G146" i="82"/>
  <c r="G185" i="82" s="1"/>
  <c r="J135" i="82"/>
  <c r="J174" i="82" s="1"/>
  <c r="K130" i="82"/>
  <c r="K169" i="82" s="1"/>
  <c r="L138" i="82"/>
  <c r="L177" i="82" s="1"/>
  <c r="G136" i="82"/>
  <c r="G175" i="82" s="1"/>
  <c r="G138" i="82"/>
  <c r="G177" i="82" s="1"/>
  <c r="F126" i="82"/>
  <c r="F165" i="82" s="1"/>
  <c r="J129" i="82"/>
  <c r="J168" i="82" s="1"/>
  <c r="J130" i="82"/>
  <c r="J169" i="82" s="1"/>
  <c r="E125" i="82"/>
  <c r="E164" i="82" s="1"/>
  <c r="E126" i="82"/>
  <c r="E165" i="82" s="1"/>
  <c r="L131" i="82"/>
  <c r="L170" i="82" s="1"/>
  <c r="F133" i="82"/>
  <c r="F172" i="82" s="1"/>
  <c r="I127" i="82"/>
  <c r="I166" i="82" s="1"/>
  <c r="K134" i="82"/>
  <c r="K173" i="82" s="1"/>
  <c r="K129" i="82"/>
  <c r="K168" i="82" s="1"/>
  <c r="L126" i="82"/>
  <c r="L165" i="82" s="1"/>
  <c r="D136" i="82"/>
  <c r="D175" i="82" s="1"/>
  <c r="D84" i="82"/>
  <c r="D108" i="82"/>
  <c r="F154" i="82"/>
  <c r="F193" i="82" s="1"/>
  <c r="L150" i="82"/>
  <c r="L189" i="82" s="1"/>
  <c r="F124" i="82"/>
  <c r="F163" i="82" s="1"/>
  <c r="I135" i="82"/>
  <c r="I174" i="82" s="1"/>
  <c r="E124" i="82"/>
  <c r="E163" i="82" s="1"/>
  <c r="D130" i="82"/>
  <c r="D169" i="82" s="1"/>
  <c r="D117" i="82"/>
  <c r="D122" i="82"/>
  <c r="F142" i="82"/>
  <c r="F181" i="82" s="1"/>
  <c r="L132" i="82"/>
  <c r="L171" i="82" s="1"/>
  <c r="L124" i="82"/>
  <c r="L163" i="82" s="1"/>
  <c r="L125" i="82"/>
  <c r="L164" i="82" s="1"/>
  <c r="I119" i="82"/>
  <c r="I115" i="82"/>
  <c r="I111" i="82"/>
  <c r="I89" i="82"/>
  <c r="I85" i="82"/>
  <c r="I81" i="82"/>
  <c r="I77" i="82"/>
  <c r="I120" i="82"/>
  <c r="I116" i="82"/>
  <c r="I112" i="82"/>
  <c r="I108" i="82"/>
  <c r="I88" i="82"/>
  <c r="I84" i="82"/>
  <c r="I80" i="82"/>
  <c r="I76" i="82"/>
  <c r="K124" i="82"/>
  <c r="K163" i="82" s="1"/>
  <c r="K126" i="82"/>
  <c r="K165" i="82" s="1"/>
  <c r="K137" i="82"/>
  <c r="K176" i="82" s="1"/>
  <c r="G130" i="82"/>
  <c r="G169" i="82" s="1"/>
  <c r="G133" i="82"/>
  <c r="G172" i="82" s="1"/>
  <c r="F131" i="82"/>
  <c r="F170" i="82" s="1"/>
  <c r="F129" i="82"/>
  <c r="F168" i="82" s="1"/>
  <c r="F135" i="82"/>
  <c r="F174" i="82" s="1"/>
  <c r="D89" i="82"/>
  <c r="D119" i="82"/>
  <c r="D115" i="82"/>
  <c r="D121" i="82"/>
  <c r="D77" i="82"/>
  <c r="D82" i="82"/>
  <c r="D116" i="82"/>
  <c r="D114" i="82"/>
  <c r="D79" i="82"/>
  <c r="D111" i="82"/>
  <c r="D88" i="82"/>
  <c r="D87" i="82"/>
  <c r="D85" i="82"/>
  <c r="D90" i="82"/>
  <c r="D112" i="82"/>
  <c r="D120" i="82"/>
  <c r="D83" i="82"/>
  <c r="D78" i="82"/>
  <c r="D81" i="82"/>
  <c r="D80" i="82"/>
  <c r="D86" i="82"/>
  <c r="D150" i="82" s="1"/>
  <c r="D189" i="82" s="1"/>
  <c r="D110" i="82"/>
  <c r="G153" i="82"/>
  <c r="G192" i="82" s="1"/>
  <c r="G132" i="82"/>
  <c r="G171" i="82" s="1"/>
  <c r="F132" i="82"/>
  <c r="F171" i="82" s="1"/>
  <c r="G131" i="82"/>
  <c r="G170" i="82" s="1"/>
  <c r="I130" i="82"/>
  <c r="I169" i="82" s="1"/>
  <c r="J126" i="82"/>
  <c r="J165" i="82" s="1"/>
  <c r="E137" i="82"/>
  <c r="E176" i="82" s="1"/>
  <c r="E135" i="82"/>
  <c r="E174" i="82" s="1"/>
  <c r="E132" i="82"/>
  <c r="E171" i="82" s="1"/>
  <c r="L127" i="82"/>
  <c r="L166" i="82" s="1"/>
  <c r="D138" i="82"/>
  <c r="D177" i="82" s="1"/>
  <c r="L149" i="82"/>
  <c r="L188" i="82" s="1"/>
  <c r="I134" i="82"/>
  <c r="I173" i="82" s="1"/>
  <c r="J127" i="82"/>
  <c r="J166" i="82" s="1"/>
  <c r="K135" i="82"/>
  <c r="K174" i="82" s="1"/>
  <c r="K132" i="82"/>
  <c r="K171" i="82" s="1"/>
  <c r="L130" i="82"/>
  <c r="L169" i="82" s="1"/>
  <c r="D134" i="82"/>
  <c r="D173" i="82" s="1"/>
  <c r="F150" i="82"/>
  <c r="F189" i="82" s="1"/>
  <c r="G151" i="82"/>
  <c r="G190" i="82" s="1"/>
  <c r="G140" i="82"/>
  <c r="G179" i="82" s="1"/>
  <c r="L154" i="82"/>
  <c r="L193" i="82" s="1"/>
  <c r="F128" i="82"/>
  <c r="F167" i="82" s="1"/>
  <c r="G127" i="82"/>
  <c r="G166" i="82" s="1"/>
  <c r="I124" i="82"/>
  <c r="I163" i="82" s="1"/>
  <c r="E128" i="82"/>
  <c r="E167" i="82" s="1"/>
  <c r="K127" i="82"/>
  <c r="K166" i="82" s="1"/>
  <c r="L148" i="82"/>
  <c r="L187" i="82" s="1"/>
  <c r="I136" i="82"/>
  <c r="I175" i="82" s="1"/>
  <c r="J134" i="82"/>
  <c r="J173" i="82" s="1"/>
  <c r="J131" i="82"/>
  <c r="J170" i="82" s="1"/>
  <c r="E129" i="82"/>
  <c r="E168" i="82" s="1"/>
  <c r="E127" i="82"/>
  <c r="E166" i="82" s="1"/>
  <c r="K136" i="82"/>
  <c r="K175" i="82" s="1"/>
  <c r="L135" i="82"/>
  <c r="L174" i="82" s="1"/>
  <c r="L134" i="82"/>
  <c r="L173" i="82" s="1"/>
  <c r="D128" i="82"/>
  <c r="D167" i="82" s="1"/>
  <c r="F140" i="82"/>
  <c r="F179" i="82" s="1"/>
  <c r="G141" i="82"/>
  <c r="G180" i="82" s="1"/>
  <c r="G147" i="82"/>
  <c r="G186" i="82" s="1"/>
  <c r="G152" i="82"/>
  <c r="G191" i="82" s="1"/>
  <c r="L146" i="82"/>
  <c r="L185" i="82" s="1"/>
  <c r="L143" i="82"/>
  <c r="L182" i="82" s="1"/>
  <c r="G124" i="82"/>
  <c r="G163" i="82" s="1"/>
  <c r="F152" i="82"/>
  <c r="F191" i="82" s="1"/>
  <c r="F136" i="82"/>
  <c r="F175" i="82" s="1"/>
  <c r="F137" i="82"/>
  <c r="F176" i="82" s="1"/>
  <c r="G135" i="82"/>
  <c r="G174" i="82" s="1"/>
  <c r="I132" i="82"/>
  <c r="I171" i="82" s="1"/>
  <c r="E136" i="82"/>
  <c r="E175" i="82" s="1"/>
  <c r="D132" i="82"/>
  <c r="D171" i="82" s="1"/>
  <c r="F144" i="82"/>
  <c r="F183" i="82" s="1"/>
  <c r="F127" i="82"/>
  <c r="F166" i="82" s="1"/>
  <c r="G137" i="82"/>
  <c r="G176" i="82" s="1"/>
  <c r="I137" i="82"/>
  <c r="I176" i="82" s="1"/>
  <c r="I133" i="82"/>
  <c r="I172" i="82" s="1"/>
  <c r="K138" i="82"/>
  <c r="K177" i="82" s="1"/>
  <c r="L128" i="82"/>
  <c r="L167" i="82" s="1"/>
  <c r="D133" i="82"/>
  <c r="D172" i="82" s="1"/>
  <c r="F138" i="82"/>
  <c r="F177" i="82" s="1"/>
  <c r="G128" i="82"/>
  <c r="G167" i="82" s="1"/>
  <c r="G129" i="82"/>
  <c r="G168" i="82" s="1"/>
  <c r="I129" i="82"/>
  <c r="I168" i="82" s="1"/>
  <c r="J125" i="82"/>
  <c r="J164" i="82" s="1"/>
  <c r="E138" i="82"/>
  <c r="E177" i="82" s="1"/>
  <c r="K131" i="82"/>
  <c r="K170" i="82" s="1"/>
  <c r="D137" i="82"/>
  <c r="D176" i="82" s="1"/>
  <c r="F153" i="82"/>
  <c r="F192" i="82" s="1"/>
  <c r="F149" i="82"/>
  <c r="F188" i="82" s="1"/>
  <c r="F147" i="82"/>
  <c r="F186" i="82" s="1"/>
  <c r="G154" i="82"/>
  <c r="G193" i="82" s="1"/>
  <c r="G150" i="82"/>
  <c r="G189" i="82" s="1"/>
  <c r="G144" i="82"/>
  <c r="G183" i="82" s="1"/>
  <c r="G145" i="82"/>
  <c r="G184" i="82" s="1"/>
  <c r="L144" i="82"/>
  <c r="L183" i="82" s="1"/>
  <c r="L145" i="82"/>
  <c r="L184" i="82" s="1"/>
  <c r="G148" i="82"/>
  <c r="G187" i="82" s="1"/>
  <c r="F130" i="82"/>
  <c r="F169" i="82" s="1"/>
  <c r="F125" i="82"/>
  <c r="F164" i="82" s="1"/>
  <c r="E130" i="82"/>
  <c r="E169" i="82" s="1"/>
  <c r="D129" i="82"/>
  <c r="D168" i="82" s="1"/>
  <c r="L152" i="82"/>
  <c r="L191" i="82" s="1"/>
  <c r="L153" i="82"/>
  <c r="L192" i="82" s="1"/>
  <c r="J133" i="82"/>
  <c r="J172" i="82" s="1"/>
  <c r="G134" i="82"/>
  <c r="G173" i="82" s="1"/>
  <c r="J124" i="82"/>
  <c r="J163" i="82" s="1"/>
  <c r="K133" i="82"/>
  <c r="K172" i="82" s="1"/>
  <c r="L129" i="82"/>
  <c r="L168" i="82" s="1"/>
  <c r="F145" i="82"/>
  <c r="F184" i="82" s="1"/>
  <c r="G142" i="82"/>
  <c r="G181" i="82" s="1"/>
  <c r="L151" i="82"/>
  <c r="L190" i="82" s="1"/>
  <c r="L140" i="82"/>
  <c r="L179" i="82" s="1"/>
  <c r="L141" i="82"/>
  <c r="L180" i="82" s="1"/>
  <c r="I140" i="82" l="1"/>
  <c r="I179" i="82" s="1"/>
  <c r="I144" i="82"/>
  <c r="I183" i="82" s="1"/>
  <c r="I78" i="82"/>
  <c r="I86" i="82"/>
  <c r="I110" i="82"/>
  <c r="I118" i="82"/>
  <c r="I79" i="82"/>
  <c r="I143" i="82" s="1"/>
  <c r="I182" i="82" s="1"/>
  <c r="I87" i="82"/>
  <c r="I151" i="82" s="1"/>
  <c r="I190" i="82" s="1"/>
  <c r="I113" i="82"/>
  <c r="I122" i="82"/>
  <c r="I82" i="82"/>
  <c r="I90" i="82"/>
  <c r="I154" i="82" s="1"/>
  <c r="I193" i="82" s="1"/>
  <c r="I114" i="82"/>
  <c r="I121" i="82"/>
  <c r="I83" i="82"/>
  <c r="I147" i="82" s="1"/>
  <c r="I186" i="82" s="1"/>
  <c r="I109" i="82"/>
  <c r="I141" i="82" s="1"/>
  <c r="I180" i="82" s="1"/>
  <c r="E77" i="82"/>
  <c r="I152" i="82"/>
  <c r="I191" i="82" s="1"/>
  <c r="E90" i="82"/>
  <c r="E110" i="82"/>
  <c r="E82" i="82"/>
  <c r="E85" i="82"/>
  <c r="E115" i="82"/>
  <c r="E118" i="82"/>
  <c r="K145" i="82"/>
  <c r="K184" i="82" s="1"/>
  <c r="E78" i="82"/>
  <c r="E86" i="82"/>
  <c r="E111" i="82"/>
  <c r="E119" i="82"/>
  <c r="E81" i="82"/>
  <c r="E89" i="82"/>
  <c r="E114" i="82"/>
  <c r="E122" i="82"/>
  <c r="E76" i="82"/>
  <c r="E84" i="82"/>
  <c r="E148" i="82" s="1"/>
  <c r="E187" i="82" s="1"/>
  <c r="E109" i="82"/>
  <c r="E117" i="82"/>
  <c r="E79" i="82"/>
  <c r="E87" i="82"/>
  <c r="E112" i="82"/>
  <c r="E120" i="82"/>
  <c r="E80" i="82"/>
  <c r="E88" i="82"/>
  <c r="E113" i="82"/>
  <c r="E121" i="82"/>
  <c r="E83" i="82"/>
  <c r="E108" i="82"/>
  <c r="I150" i="82"/>
  <c r="I189" i="82" s="1"/>
  <c r="D140" i="82"/>
  <c r="D179" i="82" s="1"/>
  <c r="K153" i="82"/>
  <c r="K192" i="82" s="1"/>
  <c r="J116" i="82"/>
  <c r="J86" i="82"/>
  <c r="J119" i="82"/>
  <c r="K147" i="82"/>
  <c r="K186" i="82" s="1"/>
  <c r="J114" i="82"/>
  <c r="J78" i="82"/>
  <c r="J83" i="82"/>
  <c r="J81" i="82"/>
  <c r="J111" i="82"/>
  <c r="K140" i="82"/>
  <c r="K179" i="82" s="1"/>
  <c r="K141" i="82"/>
  <c r="K180" i="82" s="1"/>
  <c r="K143" i="82"/>
  <c r="K182" i="82" s="1"/>
  <c r="K148" i="82"/>
  <c r="K187" i="82" s="1"/>
  <c r="K151" i="82"/>
  <c r="K190" i="82" s="1"/>
  <c r="K146" i="82"/>
  <c r="K185" i="82" s="1"/>
  <c r="J87" i="82"/>
  <c r="J122" i="82"/>
  <c r="J82" i="82"/>
  <c r="J90" i="82"/>
  <c r="J115" i="82"/>
  <c r="J77" i="82"/>
  <c r="J110" i="82"/>
  <c r="J108" i="82"/>
  <c r="J76" i="82"/>
  <c r="J84" i="82"/>
  <c r="J148" i="82" s="1"/>
  <c r="J187" i="82" s="1"/>
  <c r="J109" i="82"/>
  <c r="J117" i="82"/>
  <c r="J79" i="82"/>
  <c r="J112" i="82"/>
  <c r="K142" i="82"/>
  <c r="K181" i="82" s="1"/>
  <c r="J85" i="82"/>
  <c r="J118" i="82"/>
  <c r="J80" i="82"/>
  <c r="J88" i="82"/>
  <c r="J152" i="82" s="1"/>
  <c r="J191" i="82" s="1"/>
  <c r="J113" i="82"/>
  <c r="J121" i="82"/>
  <c r="J89" i="82"/>
  <c r="K150" i="82"/>
  <c r="K189" i="82" s="1"/>
  <c r="K152" i="82"/>
  <c r="K191" i="82" s="1"/>
  <c r="D145" i="82"/>
  <c r="D184" i="82" s="1"/>
  <c r="D141" i="82"/>
  <c r="D180" i="82" s="1"/>
  <c r="I148" i="82"/>
  <c r="I187" i="82" s="1"/>
  <c r="D154" i="82"/>
  <c r="D193" i="82" s="1"/>
  <c r="D143" i="82"/>
  <c r="D182" i="82" s="1"/>
  <c r="D146" i="82"/>
  <c r="D185" i="82" s="1"/>
  <c r="D148" i="82"/>
  <c r="D187" i="82" s="1"/>
  <c r="D147" i="82"/>
  <c r="D186" i="82" s="1"/>
  <c r="I149" i="82"/>
  <c r="I188" i="82" s="1"/>
  <c r="D149" i="82"/>
  <c r="D188" i="82" s="1"/>
  <c r="D151" i="82"/>
  <c r="D190" i="82" s="1"/>
  <c r="D144" i="82"/>
  <c r="D183" i="82" s="1"/>
  <c r="D152" i="82"/>
  <c r="D191" i="82" s="1"/>
  <c r="I145" i="82"/>
  <c r="I184" i="82" s="1"/>
  <c r="I153" i="82"/>
  <c r="I192" i="82" s="1"/>
  <c r="D153" i="82"/>
  <c r="D192" i="82" s="1"/>
  <c r="D142" i="82"/>
  <c r="D181" i="82" s="1"/>
  <c r="I146" i="82" l="1"/>
  <c r="I185" i="82" s="1"/>
  <c r="I142" i="82"/>
  <c r="I181" i="82" s="1"/>
  <c r="J149" i="82"/>
  <c r="J188" i="82" s="1"/>
  <c r="E141" i="82"/>
  <c r="E180" i="82" s="1"/>
  <c r="E146" i="82"/>
  <c r="E185" i="82" s="1"/>
  <c r="E151" i="82"/>
  <c r="E190" i="82" s="1"/>
  <c r="E140" i="82"/>
  <c r="E179" i="82" s="1"/>
  <c r="E149" i="82"/>
  <c r="E188" i="82" s="1"/>
  <c r="E143" i="82"/>
  <c r="E182" i="82" s="1"/>
  <c r="E144" i="82"/>
  <c r="E183" i="82" s="1"/>
  <c r="E142" i="82"/>
  <c r="E181" i="82" s="1"/>
  <c r="J144" i="82"/>
  <c r="J183" i="82" s="1"/>
  <c r="E152" i="82"/>
  <c r="E191" i="82" s="1"/>
  <c r="E150" i="82"/>
  <c r="E189" i="82" s="1"/>
  <c r="E147" i="82"/>
  <c r="E186" i="82" s="1"/>
  <c r="E145" i="82"/>
  <c r="E184" i="82" s="1"/>
  <c r="E154" i="82"/>
  <c r="E193" i="82" s="1"/>
  <c r="E153" i="82"/>
  <c r="E192" i="82" s="1"/>
  <c r="J142" i="82"/>
  <c r="J181" i="82" s="1"/>
  <c r="J146" i="82"/>
  <c r="J185" i="82" s="1"/>
  <c r="J150" i="82"/>
  <c r="J189" i="82" s="1"/>
  <c r="J151" i="82"/>
  <c r="J190" i="82" s="1"/>
  <c r="J145" i="82"/>
  <c r="J184" i="82" s="1"/>
  <c r="J141" i="82"/>
  <c r="J180" i="82" s="1"/>
  <c r="J143" i="82"/>
  <c r="J182" i="82" s="1"/>
  <c r="J147" i="82"/>
  <c r="J186" i="82" s="1"/>
  <c r="J140" i="82"/>
  <c r="J179" i="82" s="1"/>
  <c r="J153" i="82"/>
  <c r="J192" i="82" s="1"/>
  <c r="J154" i="82"/>
  <c r="J193" i="82" s="1"/>
  <c r="E204" i="82" l="1"/>
  <c r="E209" i="82" s="1"/>
  <c r="E202" i="82"/>
  <c r="E207" i="82" s="1"/>
  <c r="E201" i="82"/>
  <c r="E206" i="82" s="1"/>
  <c r="E200" i="82"/>
  <c r="E205" i="82" s="1"/>
  <c r="E203" i="82"/>
  <c r="E208" i="82" s="1"/>
  <c r="D20" i="37"/>
  <c r="E43" i="36"/>
  <c r="E26" i="76"/>
  <c r="E25" i="76"/>
  <c r="D25" i="76"/>
  <c r="E24" i="76"/>
  <c r="D24" i="76"/>
  <c r="D54" i="76" s="1"/>
  <c r="D43" i="76"/>
  <c r="E28" i="76"/>
  <c r="E78" i="76" s="1"/>
  <c r="D61" i="44"/>
  <c r="C56" i="44"/>
  <c r="F51" i="44"/>
  <c r="E51" i="44"/>
  <c r="D51" i="44"/>
  <c r="F50" i="44"/>
  <c r="E50" i="44"/>
  <c r="E53" i="44" s="1"/>
  <c r="D50" i="44"/>
  <c r="E39" i="76" l="1"/>
  <c r="E35" i="76"/>
  <c r="E57" i="76" s="1"/>
  <c r="E41" i="76"/>
  <c r="E63" i="76" s="1"/>
  <c r="E37" i="76"/>
  <c r="E59" i="76" s="1"/>
  <c r="E33" i="76"/>
  <c r="E40" i="76"/>
  <c r="E62" i="76" s="1"/>
  <c r="E36" i="76"/>
  <c r="F36" i="76" s="1"/>
  <c r="E32" i="76"/>
  <c r="F32" i="76" s="1"/>
  <c r="E38" i="76"/>
  <c r="E34" i="76"/>
  <c r="E56" i="76" s="1"/>
  <c r="D37" i="37"/>
  <c r="D38" i="37" s="1"/>
  <c r="D40" i="37" s="1"/>
  <c r="D52" i="76"/>
  <c r="D48" i="76"/>
  <c r="D44" i="76"/>
  <c r="D51" i="76"/>
  <c r="D47" i="76"/>
  <c r="D50" i="76"/>
  <c r="D46" i="76"/>
  <c r="D49" i="76"/>
  <c r="D45" i="76"/>
  <c r="D39" i="76"/>
  <c r="F39" i="76" s="1"/>
  <c r="D35" i="76"/>
  <c r="F35" i="76" s="1"/>
  <c r="D38" i="76"/>
  <c r="F38" i="76" s="1"/>
  <c r="D34" i="76"/>
  <c r="D41" i="76"/>
  <c r="F33" i="76"/>
  <c r="D40" i="76"/>
  <c r="G61" i="76"/>
  <c r="G57" i="76"/>
  <c r="D55" i="76"/>
  <c r="H59" i="76"/>
  <c r="H54" i="76"/>
  <c r="H55" i="76"/>
  <c r="H62" i="76"/>
  <c r="H60" i="76"/>
  <c r="H63" i="76"/>
  <c r="H58" i="76"/>
  <c r="H56" i="76"/>
  <c r="E55" i="76"/>
  <c r="E61" i="76"/>
  <c r="E60" i="76"/>
  <c r="E23" i="76"/>
  <c r="E27" i="76" s="1"/>
  <c r="D53" i="44"/>
  <c r="D42" i="37"/>
  <c r="D43" i="37"/>
  <c r="D44" i="37"/>
  <c r="D45" i="37"/>
  <c r="D47" i="36"/>
  <c r="D48" i="36"/>
  <c r="D50" i="36"/>
  <c r="D49" i="36"/>
  <c r="E46" i="36"/>
  <c r="E48" i="36"/>
  <c r="E50" i="36"/>
  <c r="E47" i="36"/>
  <c r="E49" i="36"/>
  <c r="E80" i="20"/>
  <c r="F53" i="44"/>
  <c r="E54" i="44"/>
  <c r="F54" i="44"/>
  <c r="D54" i="44"/>
  <c r="D80" i="20" l="1"/>
  <c r="D56" i="44"/>
  <c r="E61" i="44" s="1"/>
  <c r="E63" i="44" s="1"/>
  <c r="E68" i="44" s="1"/>
  <c r="E54" i="76"/>
  <c r="F37" i="76"/>
  <c r="F59" i="76" s="1"/>
  <c r="E58" i="76"/>
  <c r="F41" i="76"/>
  <c r="F63" i="76" s="1"/>
  <c r="F40" i="76"/>
  <c r="F62" i="76" s="1"/>
  <c r="F34" i="76"/>
  <c r="F56" i="76" s="1"/>
  <c r="D54" i="37"/>
  <c r="D49" i="37"/>
  <c r="D61" i="37" s="1"/>
  <c r="D50" i="37"/>
  <c r="D62" i="37" s="1"/>
  <c r="D48" i="37"/>
  <c r="D47" i="37"/>
  <c r="D59" i="37" s="1"/>
  <c r="D46" i="37"/>
  <c r="D58" i="37" s="1"/>
  <c r="E70" i="81"/>
  <c r="E69" i="81"/>
  <c r="E68" i="81"/>
  <c r="E51" i="76"/>
  <c r="E73" i="76" s="1"/>
  <c r="E47" i="76"/>
  <c r="E69" i="76" s="1"/>
  <c r="E43" i="76"/>
  <c r="F43" i="76" s="1"/>
  <c r="F65" i="76" s="1"/>
  <c r="E50" i="76"/>
  <c r="F50" i="76" s="1"/>
  <c r="F72" i="76" s="1"/>
  <c r="E46" i="76"/>
  <c r="F46" i="76" s="1"/>
  <c r="F68" i="76" s="1"/>
  <c r="E49" i="76"/>
  <c r="F49" i="76" s="1"/>
  <c r="F71" i="76" s="1"/>
  <c r="E45" i="76"/>
  <c r="F45" i="76" s="1"/>
  <c r="F67" i="76" s="1"/>
  <c r="E52" i="76"/>
  <c r="F52" i="76" s="1"/>
  <c r="F74" i="76" s="1"/>
  <c r="E48" i="76"/>
  <c r="F48" i="76" s="1"/>
  <c r="E44" i="76"/>
  <c r="E66" i="76" s="1"/>
  <c r="I61" i="76"/>
  <c r="H61" i="76"/>
  <c r="D59" i="76"/>
  <c r="D57" i="76"/>
  <c r="F57" i="76"/>
  <c r="I55" i="76"/>
  <c r="G55" i="76"/>
  <c r="I57" i="76"/>
  <c r="H57" i="76"/>
  <c r="D58" i="76"/>
  <c r="F58" i="76"/>
  <c r="D63" i="76"/>
  <c r="D61" i="76"/>
  <c r="F61" i="76"/>
  <c r="I56" i="76"/>
  <c r="G56" i="76"/>
  <c r="D62" i="76"/>
  <c r="D56" i="76"/>
  <c r="I60" i="76"/>
  <c r="G60" i="76"/>
  <c r="G54" i="76"/>
  <c r="I58" i="76"/>
  <c r="G58" i="76"/>
  <c r="D60" i="76"/>
  <c r="F60" i="76"/>
  <c r="G62" i="76"/>
  <c r="I62" i="76"/>
  <c r="I59" i="76"/>
  <c r="G59" i="76"/>
  <c r="I63" i="76"/>
  <c r="G63" i="76"/>
  <c r="H73" i="76"/>
  <c r="H69" i="76"/>
  <c r="H65" i="76"/>
  <c r="H72" i="76"/>
  <c r="H68" i="76"/>
  <c r="H71" i="76"/>
  <c r="H67" i="76"/>
  <c r="H74" i="76"/>
  <c r="H70" i="76"/>
  <c r="H66" i="76"/>
  <c r="D73" i="76"/>
  <c r="I70" i="76"/>
  <c r="G70" i="76"/>
  <c r="D67" i="76"/>
  <c r="D72" i="76"/>
  <c r="G65" i="76"/>
  <c r="G66" i="76"/>
  <c r="I66" i="76"/>
  <c r="G72" i="76"/>
  <c r="D70" i="76"/>
  <c r="D66" i="76"/>
  <c r="D69" i="76"/>
  <c r="G69" i="76"/>
  <c r="I68" i="76"/>
  <c r="G68" i="76"/>
  <c r="D74" i="76"/>
  <c r="D68" i="76"/>
  <c r="G71" i="76"/>
  <c r="I71" i="76"/>
  <c r="D71" i="76"/>
  <c r="D65" i="76"/>
  <c r="I67" i="76"/>
  <c r="G67" i="76"/>
  <c r="I73" i="76"/>
  <c r="G73" i="76"/>
  <c r="G74" i="76"/>
  <c r="D71" i="81"/>
  <c r="E72" i="81"/>
  <c r="D70" i="81"/>
  <c r="E71" i="81"/>
  <c r="D69" i="81"/>
  <c r="E53" i="20"/>
  <c r="F53" i="20" s="1"/>
  <c r="F65" i="20" s="1"/>
  <c r="E55" i="20"/>
  <c r="E56" i="20"/>
  <c r="E57" i="20"/>
  <c r="E54" i="20"/>
  <c r="E63" i="20"/>
  <c r="E75" i="20" s="1"/>
  <c r="E61" i="20"/>
  <c r="E73" i="20" s="1"/>
  <c r="E62" i="20"/>
  <c r="E74" i="20" s="1"/>
  <c r="E59" i="20"/>
  <c r="E71" i="20" s="1"/>
  <c r="E60" i="20"/>
  <c r="E72" i="20" s="1"/>
  <c r="F55" i="76"/>
  <c r="F54" i="76"/>
  <c r="D60" i="37"/>
  <c r="D47" i="49"/>
  <c r="D53" i="49" s="1"/>
  <c r="E41" i="36"/>
  <c r="E42" i="36" s="1"/>
  <c r="E44" i="36" s="1"/>
  <c r="E79" i="20"/>
  <c r="E67" i="44" l="1"/>
  <c r="E72" i="44" s="1"/>
  <c r="E66" i="44"/>
  <c r="E71" i="44" s="1"/>
  <c r="D62" i="20"/>
  <c r="E65" i="76"/>
  <c r="E67" i="76"/>
  <c r="D82" i="76"/>
  <c r="E71" i="76"/>
  <c r="E83" i="76" s="1"/>
  <c r="E74" i="76"/>
  <c r="E86" i="76" s="1"/>
  <c r="E72" i="76"/>
  <c r="D47" i="38"/>
  <c r="D49" i="38" s="1"/>
  <c r="D64" i="38" s="1"/>
  <c r="D53" i="36"/>
  <c r="D65" i="36" s="1"/>
  <c r="D52" i="36"/>
  <c r="D64" i="36" s="1"/>
  <c r="D54" i="36"/>
  <c r="D66" i="36" s="1"/>
  <c r="D55" i="36"/>
  <c r="D67" i="36" s="1"/>
  <c r="E51" i="36"/>
  <c r="E63" i="36" s="1"/>
  <c r="E55" i="36"/>
  <c r="E67" i="36" s="1"/>
  <c r="E52" i="36"/>
  <c r="E64" i="36" s="1"/>
  <c r="E54" i="36"/>
  <c r="E66" i="36" s="1"/>
  <c r="E53" i="36"/>
  <c r="E65" i="36" s="1"/>
  <c r="D83" i="76"/>
  <c r="D86" i="76"/>
  <c r="D84" i="76"/>
  <c r="D85" i="76"/>
  <c r="E68" i="76"/>
  <c r="E85" i="76" s="1"/>
  <c r="E70" i="76"/>
  <c r="F47" i="76"/>
  <c r="F69" i="76" s="1"/>
  <c r="F44" i="76"/>
  <c r="F66" i="76" s="1"/>
  <c r="I83" i="76" s="1"/>
  <c r="I88" i="76" s="1"/>
  <c r="F51" i="76"/>
  <c r="F73" i="76" s="1"/>
  <c r="I85" i="76" s="1"/>
  <c r="I90" i="76" s="1"/>
  <c r="F70" i="76"/>
  <c r="I82" i="76" s="1"/>
  <c r="I87" i="76" s="1"/>
  <c r="I74" i="76"/>
  <c r="I69" i="76"/>
  <c r="I72" i="76"/>
  <c r="I84" i="76" s="1"/>
  <c r="I89" i="76" s="1"/>
  <c r="E68" i="20"/>
  <c r="E86" i="20" s="1"/>
  <c r="F56" i="20"/>
  <c r="F68" i="20" s="1"/>
  <c r="E67" i="20"/>
  <c r="E85" i="20" s="1"/>
  <c r="F55" i="20"/>
  <c r="F67" i="20" s="1"/>
  <c r="E66" i="20"/>
  <c r="E84" i="20" s="1"/>
  <c r="F54" i="20"/>
  <c r="F66" i="20" s="1"/>
  <c r="E65" i="20"/>
  <c r="E83" i="20" s="1"/>
  <c r="E69" i="20"/>
  <c r="E87" i="20" s="1"/>
  <c r="F57" i="20"/>
  <c r="F69" i="20" s="1"/>
  <c r="E59" i="36"/>
  <c r="E82" i="76" l="1"/>
  <c r="E84" i="76"/>
  <c r="D61" i="20"/>
  <c r="F61" i="20" s="1"/>
  <c r="F73" i="20" s="1"/>
  <c r="F85" i="20" s="1"/>
  <c r="F90" i="20" s="1"/>
  <c r="D79" i="20"/>
  <c r="D63" i="20"/>
  <c r="F63" i="20" s="1"/>
  <c r="F75" i="20" s="1"/>
  <c r="F87" i="20" s="1"/>
  <c r="F92" i="20" s="1"/>
  <c r="D60" i="20"/>
  <c r="D72" i="20" s="1"/>
  <c r="D84" i="20" s="1"/>
  <c r="D59" i="20"/>
  <c r="D55" i="38"/>
  <c r="D54" i="38"/>
  <c r="D57" i="38"/>
  <c r="D60" i="38"/>
  <c r="D56" i="38"/>
  <c r="D68" i="38" s="1"/>
  <c r="D58" i="38"/>
  <c r="D59" i="38"/>
  <c r="I86" i="76"/>
  <c r="I91" i="76" s="1"/>
  <c r="F62" i="20"/>
  <c r="F74" i="20" s="1"/>
  <c r="F86" i="20" s="1"/>
  <c r="F91" i="20" s="1"/>
  <c r="D74" i="20"/>
  <c r="D86" i="20" s="1"/>
  <c r="E65" i="44"/>
  <c r="E70" i="44" s="1"/>
  <c r="E64" i="44"/>
  <c r="E69" i="44" s="1"/>
  <c r="D49" i="49"/>
  <c r="D55" i="49" s="1"/>
  <c r="F59" i="20" l="1"/>
  <c r="F71" i="20" s="1"/>
  <c r="F83" i="20" s="1"/>
  <c r="F88" i="20" s="1"/>
  <c r="D73" i="20"/>
  <c r="D85" i="20" s="1"/>
  <c r="F60" i="20"/>
  <c r="F72" i="20" s="1"/>
  <c r="F84" i="20" s="1"/>
  <c r="F89" i="20" s="1"/>
  <c r="D71" i="20"/>
  <c r="D83" i="20" s="1"/>
  <c r="D75" i="20"/>
  <c r="D87" i="20" s="1"/>
  <c r="D69" i="38"/>
  <c r="D70" i="38"/>
  <c r="D72" i="38"/>
  <c r="D71" i="38"/>
</calcChain>
</file>

<file path=xl/comments1.xml><?xml version="1.0" encoding="utf-8"?>
<comments xmlns="http://schemas.openxmlformats.org/spreadsheetml/2006/main">
  <authors>
    <author>David Kall</author>
    <author>Sarah Windmiller</author>
  </authors>
  <commentList>
    <comment ref="C8" authorId="0" shapeId="0">
      <text>
        <r>
          <rPr>
            <sz val="9"/>
            <color indexed="81"/>
            <rFont val="Tahoma"/>
            <family val="2"/>
          </rPr>
          <t>See delays associated with varying level of service for signalized intersections on the "Other Variables" tab</t>
        </r>
      </text>
    </comment>
    <comment ref="C32" authorId="1" shapeId="0">
      <text>
        <r>
          <rPr>
            <sz val="9"/>
            <color indexed="81"/>
            <rFont val="Tahoma"/>
            <family val="2"/>
          </rPr>
          <t xml:space="preserve">12% Reduction for Non-Adaptive Signal Systems
Average 31.5% Reduction for Adaptive Signal Systems
</t>
        </r>
      </text>
    </comment>
  </commentList>
</comments>
</file>

<file path=xl/comments10.xml><?xml version="1.0" encoding="utf-8"?>
<comments xmlns="http://schemas.openxmlformats.org/spreadsheetml/2006/main">
  <authors>
    <author>David Kall</author>
    <author>Sarah Windmiller</author>
  </authors>
  <commentList>
    <comment ref="C8" authorId="0" shapeId="0">
      <text>
        <r>
          <rPr>
            <sz val="9"/>
            <color indexed="81"/>
            <rFont val="Tahoma"/>
            <family val="2"/>
          </rPr>
          <t>Provide sum of daily traffic volumes in both directions</t>
        </r>
      </text>
    </comment>
    <comment ref="C9" authorId="1" shapeId="0">
      <text>
        <r>
          <rPr>
            <sz val="9"/>
            <color indexed="81"/>
            <rFont val="Tahoma"/>
            <family val="2"/>
          </rPr>
          <t xml:space="preserve">Use look-ups in OtherVariables Tab in this spreadsheet for guidance based on capacity by functional class
</t>
        </r>
      </text>
    </comment>
    <comment ref="C12" authorId="1" shapeId="0">
      <text>
        <r>
          <rPr>
            <sz val="9"/>
            <color indexed="81"/>
            <rFont val="Tahoma"/>
            <family val="2"/>
          </rPr>
          <t xml:space="preserve">Should not give credit for less than 3 centers; 
Destinations examples: banks, churches, hospitals, park and ride, office parks, library, shopping, schools
</t>
        </r>
      </text>
    </comment>
    <comment ref="C17" authorId="1" shapeId="0">
      <text>
        <r>
          <rPr>
            <sz val="9"/>
            <color indexed="81"/>
            <rFont val="Tahoma"/>
            <family val="2"/>
          </rPr>
          <t>User defined; default value of 1.8
(http://www.dot.ga.gov/travelingingeorgia/bikepedestrian/Documents/Plans/ARC_BikePed_Plan_2007.pdf)</t>
        </r>
      </text>
    </comment>
    <comment ref="C20" authorId="1" shapeId="0">
      <text>
        <r>
          <rPr>
            <sz val="9"/>
            <color indexed="81"/>
            <rFont val="Tahoma"/>
            <family val="2"/>
          </rPr>
          <t>User defined; default value of 0.98 (NHTS 2009 Summary of Travel Trends)</t>
        </r>
      </text>
    </comment>
    <comment ref="C23" authorId="1" shapeId="0">
      <text>
        <r>
          <rPr>
            <sz val="9"/>
            <color indexed="81"/>
            <rFont val="Tahoma"/>
            <family val="2"/>
          </rPr>
          <t xml:space="preserve">User defined (values from APTA - 5.2 and FTA - 10.2)
</t>
        </r>
      </text>
    </comment>
    <comment ref="C25" authorId="1" shapeId="0">
      <text>
        <r>
          <rPr>
            <sz val="9"/>
            <color indexed="81"/>
            <rFont val="Tahoma"/>
            <family val="2"/>
          </rPr>
          <t xml:space="preserve">Enter Y or N. If no, access to bus is default.
</t>
        </r>
      </text>
    </comment>
  </commentList>
</comments>
</file>

<file path=xl/comments11.xml><?xml version="1.0" encoding="utf-8"?>
<comments xmlns="http://schemas.openxmlformats.org/spreadsheetml/2006/main">
  <authors>
    <author>Sarah Windmiller</author>
  </authors>
  <commentList>
    <comment ref="C8" authorId="0" shapeId="0">
      <text>
        <r>
          <rPr>
            <sz val="9"/>
            <color indexed="81"/>
            <rFont val="Tahoma"/>
            <family val="2"/>
          </rPr>
          <t xml:space="preserve">Use travel demand model to provide sum of daily trips from origin to destination and from destination back to origin.
</t>
        </r>
      </text>
    </comment>
    <comment ref="C9" authorId="0" shapeId="0">
      <text>
        <r>
          <rPr>
            <sz val="9"/>
            <color indexed="81"/>
            <rFont val="Tahoma"/>
            <family val="2"/>
          </rPr>
          <t>Use look-ups in OtherVariables Tab in this spreadsheet for guidance based on capacity by functional class</t>
        </r>
      </text>
    </comment>
    <comment ref="C11" authorId="0" shapeId="0">
      <text>
        <r>
          <rPr>
            <sz val="9"/>
            <color indexed="81"/>
            <rFont val="Tahoma"/>
            <family val="2"/>
          </rPr>
          <t>Should not give credit for less than 3 centers
Destinations examples: banks, churches, hospitals, park and ride, office parks, library, shopping, schools</t>
        </r>
      </text>
    </comment>
    <comment ref="C19" authorId="0" shapeId="0">
      <text>
        <r>
          <rPr>
            <sz val="9"/>
            <color indexed="81"/>
            <rFont val="Tahoma"/>
            <family val="2"/>
          </rPr>
          <t xml:space="preserve">User defined; default value of 1.8
</t>
        </r>
      </text>
    </comment>
    <comment ref="C22" authorId="0" shapeId="0">
      <text>
        <r>
          <rPr>
            <b/>
            <sz val="9"/>
            <color indexed="81"/>
            <rFont val="Tahoma"/>
            <family val="2"/>
          </rPr>
          <t>User defined; default value of 0.98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" authorId="0" shapeId="0">
      <text>
        <r>
          <rPr>
            <sz val="9"/>
            <color indexed="81"/>
            <rFont val="Tahoma"/>
            <family val="2"/>
          </rPr>
          <t xml:space="preserve">Use ARC Model conversion factor
</t>
        </r>
      </text>
    </comment>
    <comment ref="C32" authorId="0" shapeId="0">
      <text>
        <r>
          <rPr>
            <sz val="9"/>
            <color indexed="81"/>
            <rFont val="Tahoma"/>
            <family val="2"/>
          </rPr>
          <t xml:space="preserve">NCHRP Report 716 Table 4.25 for Multilane Highways with free flow speed of 50 mph (see table in 'OtherVariables' tab)
</t>
        </r>
      </text>
    </comment>
    <comment ref="C33" authorId="0" shapeId="0">
      <text>
        <r>
          <rPr>
            <sz val="9"/>
            <color indexed="81"/>
            <rFont val="Tahoma"/>
            <family val="2"/>
          </rPr>
          <t xml:space="preserve">NCHRP Report 716 Table 4.25 for Multilane Highways with free flow speed of 50 mph (see table in 'OtherVariables' tab)
</t>
        </r>
      </text>
    </comment>
    <comment ref="C34" authorId="0" shapeId="0">
      <text>
        <r>
          <rPr>
            <sz val="9"/>
            <color indexed="81"/>
            <rFont val="Tahoma"/>
            <family val="2"/>
          </rPr>
          <t>http://www.nhtsa.gov/staticfiles/nti/pdf/811841b.pdf.
11% for bike</t>
        </r>
      </text>
    </comment>
    <comment ref="C35" authorId="0" shapeId="0">
      <text>
        <r>
          <rPr>
            <sz val="9"/>
            <color indexed="81"/>
            <rFont val="Tahoma"/>
            <family val="2"/>
          </rPr>
          <t xml:space="preserve">http://www.nhtsa.gov/staticfiles/nti/pdf/811841b.pdf.
8% for pedestrians
</t>
        </r>
      </text>
    </comment>
  </commentList>
</comments>
</file>

<file path=xl/comments12.xml><?xml version="1.0" encoding="utf-8"?>
<comments xmlns="http://schemas.openxmlformats.org/spreadsheetml/2006/main">
  <authors>
    <author>Sarah Windmiller</author>
  </authors>
  <commentList>
    <comment ref="C8" authorId="0" shapeId="0">
      <text>
        <r>
          <rPr>
            <sz val="9"/>
            <color indexed="81"/>
            <rFont val="Tahoma"/>
            <family val="2"/>
          </rPr>
          <t xml:space="preserve">Uses Elasticities from VTPI. See "Other Variables" Tab
</t>
        </r>
      </text>
    </comment>
    <comment ref="C17" authorId="0" shapeId="0">
      <text>
        <r>
          <rPr>
            <sz val="9"/>
            <color indexed="81"/>
            <rFont val="Tahoma"/>
            <family val="2"/>
          </rPr>
          <t>Representative mode shares can be used from ARC's model</t>
        </r>
      </text>
    </comment>
    <comment ref="C18" authorId="0" shapeId="0">
      <text>
        <r>
          <rPr>
            <sz val="9"/>
            <color indexed="81"/>
            <rFont val="Tahoma"/>
            <family val="2"/>
          </rPr>
          <t xml:space="preserve">Representative mode shares can be used from ARC's model
</t>
        </r>
      </text>
    </comment>
    <comment ref="C19" authorId="0" shapeId="0">
      <text>
        <r>
          <rPr>
            <sz val="9"/>
            <color indexed="81"/>
            <rFont val="Tahoma"/>
            <family val="2"/>
          </rPr>
          <t xml:space="preserve">Representative mode shares can be used from ARC's model
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 xml:space="preserve">Uses Elasticities from VTPI. See Commute Strategies Data Tab
</t>
        </r>
      </text>
    </comment>
    <comment ref="C26" authorId="0" shapeId="0">
      <text>
        <r>
          <rPr>
            <sz val="9"/>
            <color indexed="81"/>
            <rFont val="Tahoma"/>
            <family val="2"/>
          </rPr>
          <t xml:space="preserve">Okay to put zeroes if no existing subsidy being provided
</t>
        </r>
      </text>
    </comment>
    <comment ref="C33" authorId="0" shapeId="0">
      <text>
        <r>
          <rPr>
            <sz val="9"/>
            <color indexed="81"/>
            <rFont val="Tahoma"/>
            <family val="2"/>
          </rPr>
          <t xml:space="preserve">Okay to put zeroes if no existing subsidy being provided
</t>
        </r>
      </text>
    </comment>
    <comment ref="C41" authorId="0" shapeId="0">
      <text>
        <r>
          <rPr>
            <sz val="9"/>
            <color indexed="81"/>
            <rFont val="Tahoma"/>
            <family val="2"/>
          </rPr>
          <t>Running Emission Rates @ 35 mph</t>
        </r>
      </text>
    </comment>
  </commentList>
</comments>
</file>

<file path=xl/comments13.xml><?xml version="1.0" encoding="utf-8"?>
<comments xmlns="http://schemas.openxmlformats.org/spreadsheetml/2006/main">
  <authors>
    <author>David Kall</author>
  </authors>
  <commentList>
    <comment ref="C10" authorId="0" shapeId="0">
      <text>
        <r>
          <rPr>
            <sz val="9"/>
            <color indexed="81"/>
            <rFont val="Tahoma"/>
            <family val="2"/>
          </rPr>
          <t>DPFs work best on engines built after 1995.</t>
        </r>
      </text>
    </comment>
    <comment ref="C11" authorId="0" shapeId="0">
      <text>
        <r>
          <rPr>
            <sz val="9"/>
            <color indexed="81"/>
            <rFont val="Tahoma"/>
            <family val="2"/>
          </rPr>
          <t>DPFs work best on engines built after 1995.</t>
        </r>
      </text>
    </comment>
  </commentList>
</comments>
</file>

<file path=xl/comments2.xml><?xml version="1.0" encoding="utf-8"?>
<comments xmlns="http://schemas.openxmlformats.org/spreadsheetml/2006/main">
  <authors>
    <author>Sarah Windmiller</author>
  </authors>
  <commentList>
    <comment ref="C22" authorId="0" shapeId="0">
      <text>
        <r>
          <rPr>
            <sz val="9"/>
            <color indexed="81"/>
            <rFont val="Tahoma"/>
            <family val="2"/>
          </rPr>
          <t xml:space="preserve">Based on California's TLSPEN program (delay reduction from HCM 2000)
</t>
        </r>
      </text>
    </comment>
    <comment ref="C32" authorId="0" shapeId="0">
      <text>
        <r>
          <rPr>
            <sz val="9"/>
            <color indexed="81"/>
            <rFont val="Tahoma"/>
            <family val="2"/>
          </rPr>
          <t xml:space="preserve">Lookup formulas for 2010 and 2020 currently assume urban unrescricted access (MOVES Road Type 5).  Change Lookup Formula to reference column F (instead of H) if you want rural unrestricted access (MOVES Road Type 3)
</t>
        </r>
      </text>
    </comment>
    <comment ref="C37" authorId="0" shapeId="0">
      <text>
        <r>
          <rPr>
            <sz val="9"/>
            <color indexed="81"/>
            <rFont val="Tahoma"/>
            <family val="2"/>
          </rPr>
          <t xml:space="preserve">Lookup formulas currently assume urban unrescricted access (MOVES Road Type 5).  Change Lookup Formula to reference column P (instead of R) if you want rural unrestricted access (MOVES Road Type 3)
</t>
        </r>
      </text>
    </comment>
  </commentList>
</comments>
</file>

<file path=xl/comments3.xml><?xml version="1.0" encoding="utf-8"?>
<comments xmlns="http://schemas.openxmlformats.org/spreadsheetml/2006/main">
  <authors>
    <author>Sarah Windmiller</author>
  </authors>
  <commentList>
    <comment ref="C10" authorId="0" shapeId="0">
      <text>
        <r>
          <rPr>
            <sz val="9"/>
            <color indexed="81"/>
            <rFont val="Tahoma"/>
            <family val="2"/>
          </rPr>
          <t xml:space="preserve">Note: Each additional auxiliary/turn lane or reversible lane added equals 1/2 lane. Report Data for both approaches of the street
</t>
        </r>
      </text>
    </comment>
    <comment ref="C12" authorId="0" shapeId="0">
      <text>
        <r>
          <rPr>
            <sz val="9"/>
            <color indexed="81"/>
            <rFont val="Tahoma"/>
            <family val="2"/>
          </rPr>
          <t xml:space="preserve">ARC Model
</t>
        </r>
      </text>
    </comment>
    <comment ref="C14" authorId="0" shapeId="0">
      <text>
        <r>
          <rPr>
            <sz val="9"/>
            <color indexed="81"/>
            <rFont val="Tahoma"/>
            <family val="2"/>
          </rPr>
          <t xml:space="preserve">Input in order to develop critical V/C by approach, simplified so as to avoid dealing with turning movements
</t>
        </r>
      </text>
    </comment>
    <comment ref="C17" authorId="0" shapeId="0">
      <text>
        <r>
          <rPr>
            <sz val="9"/>
            <color indexed="81"/>
            <rFont val="Tahoma"/>
            <family val="2"/>
          </rPr>
          <t xml:space="preserve">Guidance based on FHWA signal timing manual
</t>
        </r>
      </text>
    </comment>
    <comment ref="C18" authorId="0" shapeId="0">
      <text>
        <r>
          <rPr>
            <sz val="9"/>
            <color indexed="81"/>
            <rFont val="Tahoma"/>
            <family val="2"/>
          </rPr>
          <t>See Look-up for Unsignalized intersection delay and progression criteria under 'OtherVariables' tab.</t>
        </r>
      </text>
    </comment>
  </commentList>
</comments>
</file>

<file path=xl/comments4.xml><?xml version="1.0" encoding="utf-8"?>
<comments xmlns="http://schemas.openxmlformats.org/spreadsheetml/2006/main">
  <authors>
    <author>Sarah Windmiller</author>
  </authors>
  <commentList>
    <comment ref="C8" authorId="0" shapeId="0">
      <text>
        <r>
          <rPr>
            <sz val="9"/>
            <color indexed="81"/>
            <rFont val="Tahoma"/>
            <family val="2"/>
          </rPr>
          <t xml:space="preserve">This changes the flow rates that can be used (0.85 for RT and 0.95 for LT)
</t>
        </r>
      </text>
    </comment>
    <comment ref="C9" authorId="0" shapeId="0">
      <text>
        <r>
          <rPr>
            <sz val="9"/>
            <color indexed="81"/>
            <rFont val="Tahoma"/>
            <family val="2"/>
          </rPr>
          <t xml:space="preserve">Guidance based on FHWA signal timing manual
</t>
        </r>
      </text>
    </comment>
  </commentList>
</comments>
</file>

<file path=xl/comments5.xml><?xml version="1.0" encoding="utf-8"?>
<comments xmlns="http://schemas.openxmlformats.org/spreadsheetml/2006/main">
  <authors>
    <author>Sarah Windmiller</author>
  </authors>
  <commentList>
    <comment ref="C10" authorId="0" shapeId="0">
      <text>
        <r>
          <rPr>
            <sz val="9"/>
            <color indexed="81"/>
            <rFont val="Tahoma"/>
            <family val="2"/>
          </rPr>
          <t>Each additional auxiliary/turn lane or reversible lane added equals 1/2 lane. Report Data for both approaches of the street</t>
        </r>
      </text>
    </comment>
    <comment ref="C12" authorId="0" shapeId="0">
      <text>
        <r>
          <rPr>
            <sz val="9"/>
            <color indexed="81"/>
            <rFont val="Tahoma"/>
            <family val="2"/>
          </rPr>
          <t xml:space="preserve">Each additional auxiliary/turn lane or reversible lane added equals 1/2 lane. Report Data for both approaches of the street
</t>
        </r>
      </text>
    </comment>
  </commentList>
</comments>
</file>

<file path=xl/comments6.xml><?xml version="1.0" encoding="utf-8"?>
<comments xmlns="http://schemas.openxmlformats.org/spreadsheetml/2006/main">
  <authors>
    <author>Sarah Windmiller</author>
  </authors>
  <commentList>
    <comment ref="C24" authorId="0" shapeId="0">
      <text>
        <r>
          <rPr>
            <sz val="9"/>
            <color indexed="81"/>
            <rFont val="Tahoma"/>
            <family val="2"/>
          </rPr>
          <t xml:space="preserve">Urban Default = 0.92, Rural Default = 0.88, NCHRP Report 599
</t>
        </r>
      </text>
    </comment>
    <comment ref="C26" authorId="0" shapeId="0">
      <text>
        <r>
          <rPr>
            <sz val="9"/>
            <color indexed="81"/>
            <rFont val="Tahoma"/>
            <family val="2"/>
          </rPr>
          <t>See Look-up for Unsignalized intersection delay and progression criteria in 'OtherVariables' Tab</t>
        </r>
      </text>
    </comment>
  </commentList>
</comments>
</file>

<file path=xl/comments7.xml><?xml version="1.0" encoding="utf-8"?>
<comments xmlns="http://schemas.openxmlformats.org/spreadsheetml/2006/main">
  <authors>
    <author>Sarah Windmiller</author>
  </authors>
  <commentList>
    <comment ref="C11" authorId="0" shapeId="0">
      <text>
        <r>
          <rPr>
            <sz val="9"/>
            <color indexed="81"/>
            <rFont val="Tahoma"/>
            <family val="2"/>
          </rPr>
          <t>This should be preferably at the time of the incident, but averaging events makes it less significant.</t>
        </r>
      </text>
    </comment>
  </commentList>
</comments>
</file>

<file path=xl/comments8.xml><?xml version="1.0" encoding="utf-8"?>
<comments xmlns="http://schemas.openxmlformats.org/spreadsheetml/2006/main">
  <authors>
    <author>Sarah Windmiller</author>
  </authors>
  <commentList>
    <comment ref="C10" authorId="0" shapeId="0">
      <text>
        <r>
          <rPr>
            <sz val="9"/>
            <color indexed="81"/>
            <rFont val="Tahoma"/>
            <family val="2"/>
          </rPr>
          <t>Each additional auxiliary/turn lane or reversible lane added equals 1/2 lane. Report Data for both approaches of the street</t>
        </r>
      </text>
    </comment>
    <comment ref="C12" authorId="0" shapeId="0">
      <text>
        <r>
          <rPr>
            <sz val="9"/>
            <color indexed="81"/>
            <rFont val="Tahoma"/>
            <family val="2"/>
          </rPr>
          <t xml:space="preserve">Each additional auxiliary/turn lane or reversible lane added equals 1/2 lane. Report Data for both approaches of the street
</t>
        </r>
      </text>
    </comment>
    <comment ref="C25" authorId="0" shapeId="0">
      <text>
        <r>
          <rPr>
            <sz val="9"/>
            <color indexed="81"/>
            <rFont val="Tahoma"/>
            <family val="2"/>
          </rPr>
          <t xml:space="preserve">10% is common: TSP Planning and Implementation Handbook
</t>
        </r>
      </text>
    </comment>
    <comment ref="C34" authorId="0" shapeId="0">
      <text>
        <r>
          <rPr>
            <sz val="9"/>
            <color indexed="81"/>
            <rFont val="Tahoma"/>
            <family val="2"/>
          </rPr>
          <t xml:space="preserve">Professional practice for a simplified calculation
</t>
        </r>
      </text>
    </comment>
    <comment ref="C39" authorId="0" shapeId="0">
      <text>
        <r>
          <rPr>
            <sz val="9"/>
            <color indexed="81"/>
            <rFont val="Tahoma"/>
            <family val="2"/>
          </rPr>
          <t xml:space="preserve">ARC model specific data can be used
</t>
        </r>
      </text>
    </comment>
  </commentList>
</comments>
</file>

<file path=xl/comments9.xml><?xml version="1.0" encoding="utf-8"?>
<comments xmlns="http://schemas.openxmlformats.org/spreadsheetml/2006/main">
  <authors>
    <author>Sarah Windmiller</author>
  </authors>
  <commentList>
    <comment ref="C15" authorId="0" shapeId="0">
      <text>
        <r>
          <rPr>
            <sz val="9"/>
            <color indexed="81"/>
            <rFont val="Tahoma"/>
            <family val="2"/>
          </rPr>
          <t xml:space="preserve">Calculator currently set up to assume the same number of GP lanes before and after
</t>
        </r>
      </text>
    </comment>
    <comment ref="C17" authorId="0" shapeId="0">
      <text>
        <r>
          <rPr>
            <sz val="9"/>
            <color indexed="81"/>
            <rFont val="Tahoma"/>
            <family val="2"/>
          </rPr>
          <t xml:space="preserve">Calculator currently set up to assume the same percent vehicle types before and after
</t>
        </r>
      </text>
    </comment>
    <comment ref="C18" authorId="0" shapeId="0">
      <text>
        <r>
          <rPr>
            <sz val="9"/>
            <color indexed="81"/>
            <rFont val="Tahoma"/>
            <family val="2"/>
          </rPr>
          <t>Calculator currently set up to assume the same percent vehicle types before and after.</t>
        </r>
      </text>
    </comment>
    <comment ref="C19" authorId="0" shapeId="0">
      <text>
        <r>
          <rPr>
            <sz val="9"/>
            <color indexed="81"/>
            <rFont val="Tahoma"/>
            <family val="2"/>
          </rPr>
          <t xml:space="preserve">Calculator currently set up to assume the same percent vehicle types before and after
</t>
        </r>
      </text>
    </comment>
  </commentList>
</comments>
</file>

<file path=xl/sharedStrings.xml><?xml version="1.0" encoding="utf-8"?>
<sst xmlns="http://schemas.openxmlformats.org/spreadsheetml/2006/main" count="2852" uniqueCount="998">
  <si>
    <t>Transit</t>
  </si>
  <si>
    <t>Constants</t>
  </si>
  <si>
    <t>Emission Factors</t>
  </si>
  <si>
    <t>A</t>
  </si>
  <si>
    <t>B</t>
  </si>
  <si>
    <t>C</t>
  </si>
  <si>
    <t>D</t>
  </si>
  <si>
    <t>E</t>
  </si>
  <si>
    <t>F</t>
  </si>
  <si>
    <t>Average Trip Length (mi)</t>
  </si>
  <si>
    <t xml:space="preserve">(A) adjustment factor for ADT </t>
  </si>
  <si>
    <t xml:space="preserve">Annual Auto VMT Reduced  </t>
  </si>
  <si>
    <t>(C) activity center credit near project</t>
  </si>
  <si>
    <t>Length</t>
  </si>
  <si>
    <t>Factor</t>
  </si>
  <si>
    <t>ADT adjustment Factor Lookup (adapted from CARB, 2008)</t>
  </si>
  <si>
    <t>&lt; 1</t>
  </si>
  <si>
    <t>1 - 2</t>
  </si>
  <si>
    <t>&gt; 2</t>
  </si>
  <si>
    <t>max ADT</t>
  </si>
  <si>
    <t>Non-university area</t>
  </si>
  <si>
    <t>Y</t>
  </si>
  <si>
    <t>Annual average daily traffic (ADT) on the parallel arterial</t>
  </si>
  <si>
    <t>Does project provide access to transit (Y/N)?</t>
  </si>
  <si>
    <t>Length of bike/ped project (miles)</t>
  </si>
  <si>
    <t>default factor to convert average weekday traffic to AADT</t>
  </si>
  <si>
    <t>Within 2 miles of a university or college (Y/N)?</t>
  </si>
  <si>
    <t>Area Type</t>
  </si>
  <si>
    <t>CBD</t>
  </si>
  <si>
    <t>Urban</t>
  </si>
  <si>
    <t>Suburban</t>
  </si>
  <si>
    <t>Rural</t>
  </si>
  <si>
    <t xml:space="preserve">Is ped/bike access to fixed guideway transit (Y/N)? </t>
  </si>
  <si>
    <t>N</t>
  </si>
  <si>
    <t>Percent Trucks (Street 1)</t>
  </si>
  <si>
    <t>Percent Trucks (Street 2)</t>
  </si>
  <si>
    <t>VMT per Capita</t>
  </si>
  <si>
    <t>From CUTR Model</t>
  </si>
  <si>
    <t>2055r</t>
  </si>
  <si>
    <t>0 - 499</t>
  </si>
  <si>
    <t>500 -1,999</t>
  </si>
  <si>
    <t>2,000 - 3,999</t>
  </si>
  <si>
    <t>4,000 - 9,999</t>
  </si>
  <si>
    <t>10,000+</t>
  </si>
  <si>
    <t>Area type</t>
  </si>
  <si>
    <t>Increase in transit trips resulting from new bike/ped connections</t>
  </si>
  <si>
    <t>University area</t>
  </si>
  <si>
    <t>Existing daily transit boardings in project transit corridor or at fixed-guideway station</t>
  </si>
  <si>
    <t>Bike + Ped + Transit</t>
  </si>
  <si>
    <t>Facility Type</t>
  </si>
  <si>
    <t>Peak Hour Intersection Delay before Improvement (s/veh)</t>
  </si>
  <si>
    <t>Auto Occupancy</t>
  </si>
  <si>
    <t>Eliminated Annual Auto VMT</t>
  </si>
  <si>
    <t>Annualization Factor</t>
  </si>
  <si>
    <t>Level of Service</t>
  </si>
  <si>
    <t xml:space="preserve">Very low control delay 10 or less seconds per vehicle; </t>
  </si>
  <si>
    <t>Control delay greater than 10 and up to 20 seconds per vehicle;</t>
  </si>
  <si>
    <t xml:space="preserve">Control delay greater than 20 and up to 35 seconds per vehicle; </t>
  </si>
  <si>
    <t xml:space="preserve">Control delay greater than 35 and up to 55 seconds per vehicle; </t>
  </si>
  <si>
    <t xml:space="preserve">Control delay greater than 55 and up to 80 seconds per vehicle; </t>
  </si>
  <si>
    <t xml:space="preserve">Control delay greater than 80 seconds per vehicle; </t>
  </si>
  <si>
    <t>Progression Criteria</t>
  </si>
  <si>
    <t>Control Delay Per Vehicle</t>
  </si>
  <si>
    <t>Progression is very  favorable; most vehicles arrive during green signal; most vehicles do not stop. Short cycle lengths may also contribute to low delay.</t>
  </si>
  <si>
    <t>Progression is good and/or cycle lengths are short. More vehicles stop than for LOS A, causing higher levels of average delay.</t>
  </si>
  <si>
    <t>Progression is fair and/or cycle lengths are longer. Individual cycle failures may begin to appear at this level. The number of vehicles stopping is significant, though many vehicles still pass through without stopping.</t>
  </si>
  <si>
    <t>Progression is unfavorable, cycle lengths are long, or has a high flow rate to capacity ratio. Many vehicles stop, and the proportion of vehicles not stopping diminishes. Individual cycle failures are obvious.</t>
  </si>
  <si>
    <t>Progression is poor, cycle lengths are long, and has a high flow rate to capacity ratio. Individual cycle failures are frequent occurrences.</t>
  </si>
  <si>
    <t>Progression is very poor, cycle lengths are long. Many individual cycle failures. Arrival flow rates exceed the capacity of the intersection. This level is considered unacceptable to most drivers.</t>
  </si>
  <si>
    <t>Peak Hour to Daily Conversion</t>
  </si>
  <si>
    <t>Other</t>
  </si>
  <si>
    <t>Number of weekdays per year</t>
  </si>
  <si>
    <t>Note: assume delay reduction benefits on holidays and weekends are marginal</t>
  </si>
  <si>
    <t>Annualization factor</t>
  </si>
  <si>
    <t>Managed Lanes</t>
  </si>
  <si>
    <t>Peak Hour Volume - Street 1</t>
  </si>
  <si>
    <t>Peak Hour Volume - Street 2</t>
  </si>
  <si>
    <t>Capacity at Intersection - Street 1</t>
  </si>
  <si>
    <t>Capacity at Intersection - Street 2</t>
  </si>
  <si>
    <t>Signal Complexity</t>
  </si>
  <si>
    <t>Commonly Assumed Cycle Length(s)</t>
  </si>
  <si>
    <t>Permissive left turns on both streets</t>
  </si>
  <si>
    <t>Protected left-turns, protected-permissive left turns, or split phasing on one street</t>
  </si>
  <si>
    <t>Protected left-turns, protected-permissive left turn phasing, and / or split phasing on both streets</t>
  </si>
  <si>
    <t>Traffic Signal Timing Manual, 2008</t>
  </si>
  <si>
    <t>Effective Green to Cycle Length Ratio</t>
  </si>
  <si>
    <t>Critical v/c for the intersection</t>
  </si>
  <si>
    <t>Peak Hour Intersection Delay after Improvement (s/veh) (Calculated)</t>
  </si>
  <si>
    <t>Existing Peak Hour Delay (Veh-hr)</t>
  </si>
  <si>
    <t>Improved Peak Hour Delay (Veh-hr)</t>
  </si>
  <si>
    <t>Unsignalized Intersection Delay</t>
  </si>
  <si>
    <t>Progression Criteria (Unsignalized Intersection)</t>
  </si>
  <si>
    <t>&lt;10</t>
  </si>
  <si>
    <t>Very low control delay 10 or less seconds per vehicle. All drivers find freedom of
operation. Very rarely more than one vehicle in queue.</t>
  </si>
  <si>
    <t>10 to 15</t>
  </si>
  <si>
    <t>Control delay greater than 10 and up to 15 seconds per vehicle. Some drivers begin
to consider the delay troublesome. Seldom there is more than one vehicle in queue.</t>
  </si>
  <si>
    <t>15 to 25</t>
  </si>
  <si>
    <t>Control delay greater than 15 and up to 25 seconds per vehicle. Most drivers feel
restricted, but tolerably so. Often there is more than one vehicle in queue.</t>
  </si>
  <si>
    <t>25-35</t>
  </si>
  <si>
    <t>Control delay greater than 25 and up to 35 seconds per vehicle. Drivers feel
restricted. Most often, there is more than one vehicle in queue.</t>
  </si>
  <si>
    <t>35-50</t>
  </si>
  <si>
    <t>Control delay greater than 35 and up to 50 seconds per vehicle. Drivers find delays
approaching intolerable levels. There is frequently more than one vehicle in queue.
This level denotes a state in which the demand is close or equal to the probable
maximum number of vehicles that can be accommodated by the movement.</t>
  </si>
  <si>
    <t>&gt;50</t>
  </si>
  <si>
    <t>Control delay in excess of 50 seconds per vehicle. Very constrained flow.
Represents an intersection failure situation that is caused by geometric and/or
operational constraints external to the intersection.</t>
  </si>
  <si>
    <t>Left</t>
  </si>
  <si>
    <t>Right</t>
  </si>
  <si>
    <t>Number of Lanes for which the movement is being enabled</t>
  </si>
  <si>
    <t>HCM guidance states that anything greater than 300 vphpl warrants a protected turning movement</t>
  </si>
  <si>
    <t>Percentage of Trucks</t>
  </si>
  <si>
    <t>Saturation Flow Rate</t>
  </si>
  <si>
    <t>Constant for CBD/urban area types (HCM)</t>
  </si>
  <si>
    <t>Turn Adjustment for Saturation Flow</t>
  </si>
  <si>
    <t>Default V/C for the Turning Movement</t>
  </si>
  <si>
    <t>Design default V/C (HCM 16-99)</t>
  </si>
  <si>
    <t>Constant based on LOS F assumption for existing permissive or prohibited turn</t>
  </si>
  <si>
    <t>Effective Green Time for Turning Movement</t>
  </si>
  <si>
    <t>Delay After Improvement</t>
  </si>
  <si>
    <t>Existing Capacity at Intersection - Street 1</t>
  </si>
  <si>
    <t>Existing Capacity at Intersection - Street 2</t>
  </si>
  <si>
    <t>Improved Capacity at Intersection - Street 1</t>
  </si>
  <si>
    <t>Improved Capacity at Intersection - Street 2</t>
  </si>
  <si>
    <t>Critical v/c for the intersection @ Existing Capacity</t>
  </si>
  <si>
    <t>Critical v/c for the intersection @ Improved Capacity</t>
  </si>
  <si>
    <t>Peak Hour Intersection Delay Before Improvement (s/veh) (Calculated)</t>
  </si>
  <si>
    <t>Reduction in Annual Vehicle Hours of Delay</t>
  </si>
  <si>
    <t>Type of Turn with New Phase</t>
  </si>
  <si>
    <t>Intersection Existing Signal Cycle Length (sec)</t>
  </si>
  <si>
    <t>Proposed Intersection Signal Cycle Length (sec)</t>
  </si>
  <si>
    <t>Facility Type - Street 1</t>
  </si>
  <si>
    <t>Total Number of Lanes - Street 1</t>
  </si>
  <si>
    <t>Facility Type - Street 2</t>
  </si>
  <si>
    <t>Total Number of Lanes - Street 2</t>
  </si>
  <si>
    <t>Existing Number of Lanes - Street 1</t>
  </si>
  <si>
    <t>Existing Number of Lanes - Street 2</t>
  </si>
  <si>
    <t>Total Lanes After Improvement - Street 1</t>
  </si>
  <si>
    <t>Total Lanes After Improvement - Street 2</t>
  </si>
  <si>
    <t>Scenario Year</t>
  </si>
  <si>
    <t>Employer Based Commute Strategies</t>
  </si>
  <si>
    <t>Share office</t>
  </si>
  <si>
    <t>Share non-office</t>
  </si>
  <si>
    <t>Split of total employment by area type</t>
  </si>
  <si>
    <t>Low Density Suburb</t>
  </si>
  <si>
    <t>Activity Center</t>
  </si>
  <si>
    <t>Regional CBD</t>
  </si>
  <si>
    <t>Type of Area</t>
  </si>
  <si>
    <t>Base Employer Participation Rate - Office</t>
  </si>
  <si>
    <t>Base Employer Participation Rate - Non Office</t>
  </si>
  <si>
    <t>Base Financial Incentives</t>
  </si>
  <si>
    <t>Daily Transit/Rideshare Subsidy (in USD)</t>
  </si>
  <si>
    <t>Scenario Employer Participation Rate - Office</t>
  </si>
  <si>
    <t>Scenario Employer Participation Rate - Non Office</t>
  </si>
  <si>
    <t>Base Year Financial Incentives</t>
  </si>
  <si>
    <t>Mode shares</t>
  </si>
  <si>
    <t>Single Occupant Vehicle</t>
  </si>
  <si>
    <t>Rideshare</t>
  </si>
  <si>
    <t>Work days per year</t>
  </si>
  <si>
    <t>Average HOV occupancy</t>
  </si>
  <si>
    <t>% Trip Reduction due to base subsidy</t>
  </si>
  <si>
    <t>% Trip Reduction due to scenario subsidy</t>
  </si>
  <si>
    <t>TRIMMS elasticities</t>
  </si>
  <si>
    <t xml:space="preserve">Auto </t>
  </si>
  <si>
    <t>Parking/Commuting Trip Purpose</t>
  </si>
  <si>
    <t>Table 1</t>
  </si>
  <si>
    <t>Regional CBD/Corridor</t>
  </si>
  <si>
    <t>Transit voucher programs typically shift 20-percentage points of recipients’ commute travel from auto to transit (Oram Associates, 1995; Schwenk, 1995). Shoup (1997) found that total vehicle trips declined by 17% after Parking Cash Out was introduced at various urban and suburban worksites</t>
  </si>
  <si>
    <t xml:space="preserve">Transit/HOV Subsidy Vehicle Trip Reductions (www.vtpi.org/tdm/tdm41.htm) </t>
  </si>
  <si>
    <t>Worksite Setting</t>
  </si>
  <si>
    <t>$1/day</t>
  </si>
  <si>
    <t>$2/day</t>
  </si>
  <si>
    <t>$4/day</t>
  </si>
  <si>
    <t>Low density suburb, rideshare oriented</t>
  </si>
  <si>
    <t>Low density suburb, transit oriented</t>
  </si>
  <si>
    <t>Activity center, rideshare oriented</t>
  </si>
  <si>
    <t>Activity center, transit oriented</t>
  </si>
  <si>
    <t>Regional CBD/Corridor, rideshare oriented</t>
  </si>
  <si>
    <t>Regional CBD/Corridor, transit oriented</t>
  </si>
  <si>
    <t>Transit Subsidy</t>
  </si>
  <si>
    <t>lds, rs</t>
  </si>
  <si>
    <t>lds, trn</t>
  </si>
  <si>
    <t>ac, rs</t>
  </si>
  <si>
    <t>ac, trn</t>
  </si>
  <si>
    <t>cbd, rs</t>
  </si>
  <si>
    <t>cbd, trn</t>
  </si>
  <si>
    <t>Average annual miles traveled by each truck</t>
  </si>
  <si>
    <t>Trucks Emission Factor for PM (g/mi)</t>
  </si>
  <si>
    <t>Daily SOV VMT</t>
  </si>
  <si>
    <t xml:space="preserve">Base Daily SOV VMT Reduction </t>
  </si>
  <si>
    <t>Scenario Daily SOV VMT Reduction</t>
  </si>
  <si>
    <t>Total Employment (Site or Area-wide)</t>
  </si>
  <si>
    <t>Average roundtrip commute length (miles)</t>
  </si>
  <si>
    <t>Capacity of parallel arterial (vph)</t>
  </si>
  <si>
    <t>ADT to Hourly Volume Conversion</t>
  </si>
  <si>
    <t>V/C Ratio before improvements on parallel arterial</t>
  </si>
  <si>
    <t>Hourly Volume Reduced due to Improvements</t>
  </si>
  <si>
    <t>V/C Ratio after improvements on parallel arterial</t>
  </si>
  <si>
    <t>Posted Speed on parallel arterial (mph)</t>
  </si>
  <si>
    <t>Free flow travel time on parallel arterial (minutes)</t>
  </si>
  <si>
    <t>Diverging Diamond Interchange</t>
  </si>
  <si>
    <r>
      <t>Typical Mode Split by Location</t>
    </r>
    <r>
      <rPr>
        <sz val="11"/>
        <rFont val="Arial"/>
        <family val="2"/>
      </rPr>
      <t xml:space="preserve"> (Comsis, p. 3-44)</t>
    </r>
  </si>
  <si>
    <t xml:space="preserve">Annual </t>
  </si>
  <si>
    <t>Length of the signalized corridor (miles)</t>
  </si>
  <si>
    <t>Existing Number of Signalized Intersections</t>
  </si>
  <si>
    <t>Existing Average Cycle Length (seconds)</t>
  </si>
  <si>
    <t>Travel Time Savings (min)</t>
  </si>
  <si>
    <t>Travel Time after Improvements</t>
  </si>
  <si>
    <t>Existing Avg Speed (mph)</t>
  </si>
  <si>
    <t>Improved Avg Speed (mph)</t>
  </si>
  <si>
    <t>1 – CBD / Very High Density Urban</t>
  </si>
  <si>
    <t>2 – High Density Urban</t>
  </si>
  <si>
    <t>3 – Medium Density Urban</t>
  </si>
  <si>
    <t>4 – Low Density Urban</t>
  </si>
  <si>
    <t>5 – Suburban</t>
  </si>
  <si>
    <t>6 – Exurban</t>
  </si>
  <si>
    <t>7 – Rural</t>
  </si>
  <si>
    <t>-</t>
  </si>
  <si>
    <t>Interstate / Freeway Free-flow</t>
  </si>
  <si>
    <t xml:space="preserve">Parkway   </t>
  </si>
  <si>
    <t xml:space="preserve">HOV Buffer Separated </t>
  </si>
  <si>
    <t xml:space="preserve">HOV Barrier Separated </t>
  </si>
  <si>
    <t>High Speed Ramp /</t>
  </si>
  <si>
    <t xml:space="preserve">Medium Speed Ramp </t>
  </si>
  <si>
    <t xml:space="preserve">Low Speed Ramp </t>
  </si>
  <si>
    <t xml:space="preserve">Loop Ramp  </t>
  </si>
  <si>
    <t>Off Ramp w/ Intersection</t>
  </si>
  <si>
    <t>On Ramp w/ Intersection</t>
  </si>
  <si>
    <t xml:space="preserve">Expressway   </t>
  </si>
  <si>
    <t>Principal Arterial Class I</t>
  </si>
  <si>
    <t>Principal Arterial Class II</t>
  </si>
  <si>
    <t>Minor Arterial Class I</t>
  </si>
  <si>
    <t>Minor Arterial Class II</t>
  </si>
  <si>
    <t>HOV Arterial (all classes)</t>
  </si>
  <si>
    <t xml:space="preserve">Major Collector  </t>
  </si>
  <si>
    <t xml:space="preserve">Minor Collector  </t>
  </si>
  <si>
    <t>Planned Ramps w/ Intersections</t>
  </si>
  <si>
    <t xml:space="preserve">Planned Directional Ramps </t>
  </si>
  <si>
    <t>Urban Very High Density</t>
  </si>
  <si>
    <t>Urban High Density</t>
  </si>
  <si>
    <t>Urban Medium Density</t>
  </si>
  <si>
    <t>Exurban</t>
  </si>
  <si>
    <t>Urban Low Density</t>
  </si>
  <si>
    <t>Auxillary lanes</t>
  </si>
  <si>
    <t>Metered Ramps</t>
  </si>
  <si>
    <t>Documentation</t>
  </si>
  <si>
    <t>Incident Management</t>
  </si>
  <si>
    <t>Roadway Capacity (Veh/hr/lane)</t>
  </si>
  <si>
    <t>Number of Lanes</t>
  </si>
  <si>
    <t>Share of Incidents Resulting in Total Closures</t>
  </si>
  <si>
    <t>Average IMS Response and Clear-up Time (minutes)</t>
  </si>
  <si>
    <t>Average Highway Patrol Response and Clear-up Time (minutes)</t>
  </si>
  <si>
    <t>Hourly Volume Along Facility (Veh/hr)</t>
  </si>
  <si>
    <t>This should be preferably at the time of the incident, but averaging events makes it less significant</t>
  </si>
  <si>
    <t>Lanes open during partial closure</t>
  </si>
  <si>
    <t>Lanes Open During Partial Closure</t>
  </si>
  <si>
    <t>Total Annual Delay due to all incidents (IMS)</t>
  </si>
  <si>
    <t>Average vehicle length (ft)</t>
  </si>
  <si>
    <t>Use GDOT's vehicle lengths (keep trucks in mind)</t>
  </si>
  <si>
    <t>Maximum Length of the Queue (miles)</t>
  </si>
  <si>
    <t>Miles to Feet Conversion</t>
  </si>
  <si>
    <t>Minutes to Hours Conversion</t>
  </si>
  <si>
    <t>Intersection Improvement (New Signal)</t>
  </si>
  <si>
    <t>Turning Movements</t>
  </si>
  <si>
    <t>Delay</t>
  </si>
  <si>
    <t xml:space="preserve">Roundabout </t>
  </si>
  <si>
    <t>Diverging Diamond Interchange Turning Movements</t>
  </si>
  <si>
    <t>Existing/Traditional Interchange Turning Movements</t>
  </si>
  <si>
    <t>Average Daily Headways (minutes)</t>
  </si>
  <si>
    <t>Transit Corridor Length (miles)</t>
  </si>
  <si>
    <t>Transit Corridor Hours of Service Per Day</t>
  </si>
  <si>
    <t>Daily Transit Ridership</t>
  </si>
  <si>
    <t>http://www.travelbehavior.us/Nancy-pdfs/Mode%20Share.pdf</t>
  </si>
  <si>
    <t>Transit Propensity in the corridor service area</t>
  </si>
  <si>
    <t>Annual Average Per-capita transit trips</t>
  </si>
  <si>
    <t>Estimated Annual Transit Ridership</t>
  </si>
  <si>
    <t>Buses</t>
  </si>
  <si>
    <t>Total Interchange Delay (veh-hr) (Existing/Traditional Interchange)</t>
  </si>
  <si>
    <t>Total Interchange Delay (veh-hr) (Diverging Diamond Interchange)</t>
  </si>
  <si>
    <t>Percent Trucks through the Interchange</t>
  </si>
  <si>
    <t>d</t>
  </si>
  <si>
    <t>t</t>
  </si>
  <si>
    <t>duration of incident (response+clear-up time)</t>
  </si>
  <si>
    <t>v</t>
  </si>
  <si>
    <t>hourly volume</t>
  </si>
  <si>
    <t>capacity of open lanes</t>
  </si>
  <si>
    <t>total roadway capacity</t>
  </si>
  <si>
    <t>CR</t>
  </si>
  <si>
    <t>Corridor Length (miles)</t>
  </si>
  <si>
    <t>Morning Peak</t>
  </si>
  <si>
    <t>Evening Peak</t>
  </si>
  <si>
    <t>General Purpose Lanes</t>
  </si>
  <si>
    <t>HOV/HOT Lanes</t>
  </si>
  <si>
    <t>Number of Lanes - Before Project</t>
  </si>
  <si>
    <t>Number of Lanes - After Project</t>
  </si>
  <si>
    <t>Volumes (vehicles/lane/hour) - Before Project</t>
  </si>
  <si>
    <t>% Passenger Vehicles - Before Project</t>
  </si>
  <si>
    <t>% Trucks - Before Project</t>
  </si>
  <si>
    <t>Latent Demand Factor (% of GP volume reduction compared to additional managed lane capacity)</t>
  </si>
  <si>
    <t>From MnPass HOT Lane Project.  Source: Cambridge Systematics.  I-394 MnPass Technical Evaluation.  Prepared for Minnesota Department of Transportation.  November 2006.  Available: http://www.mnpass.org/pdfs/394mnpass_tech_eval.pdf.  Accessed June 11, 2008.</t>
  </si>
  <si>
    <t>Alpha Values</t>
  </si>
  <si>
    <t>Beta Values</t>
  </si>
  <si>
    <t>Lane Capacity (vehicles/lane/hour) - Before Project</t>
  </si>
  <si>
    <t>Lane Capacity (vehicles/lane/hour) - After Project</t>
  </si>
  <si>
    <t>Free flow speed (miles/hour)</t>
  </si>
  <si>
    <t>HOT Lane V/C Ratio associated with min. operating speed</t>
  </si>
  <si>
    <t>GP Lane V/C Ratio associated with vehicles jumping to HOT lane</t>
  </si>
  <si>
    <t>Calculations/Outputs</t>
  </si>
  <si>
    <t>Additional HOT Lane Volume (vehicles/hour for all lanes)</t>
  </si>
  <si>
    <t>GP Lane Volume Reduction (vehicles/hour for all lanes)</t>
  </si>
  <si>
    <t>GP Lane Volume Reduction (vehicles/lane/hour)</t>
  </si>
  <si>
    <t>GP Lane Demand for HOT Lane Capacity (vehicles/hour for all lanes)</t>
  </si>
  <si>
    <t>Volumes (vehicles/lane/hour) - After Project</t>
  </si>
  <si>
    <t>Volume/Capacity Ratio - Before Project</t>
  </si>
  <si>
    <t>Volume/Capacity Ratio - After Project</t>
  </si>
  <si>
    <t>Travel Time Under Free-Flow Conditions (minutes)</t>
  </si>
  <si>
    <t>Congested Flow Travel Time (minutes) - Before Project</t>
  </si>
  <si>
    <t>Congested Flow Travel Time (minutes) - After Project</t>
  </si>
  <si>
    <t>Light Duty - Before Project</t>
  </si>
  <si>
    <t>Light Duty - After Project</t>
  </si>
  <si>
    <t>Buses - Before Project</t>
  </si>
  <si>
    <t>Buses - After Project</t>
  </si>
  <si>
    <t>Trucks - Before Project</t>
  </si>
  <si>
    <t>Trucks - After Project</t>
  </si>
  <si>
    <t>Truck Percentage in the Corridor</t>
  </si>
  <si>
    <r>
      <t>2010 Running Emission Rates (g/mile) -</t>
    </r>
    <r>
      <rPr>
        <sz val="11"/>
        <color rgb="FFFF0000"/>
        <rFont val="Calibri"/>
        <family val="2"/>
        <scheme val="minor"/>
      </rPr>
      <t>rates in red are dummy rates until emission rate aggregation is complete</t>
    </r>
  </si>
  <si>
    <t>Light Duty</t>
  </si>
  <si>
    <t>All Trucks</t>
  </si>
  <si>
    <t>Single Unit Trucks</t>
  </si>
  <si>
    <t>Combination Trucks</t>
  </si>
  <si>
    <t>County Group</t>
  </si>
  <si>
    <t>Season</t>
  </si>
  <si>
    <t>Pollutant</t>
  </si>
  <si>
    <t>Speed (mph)</t>
  </si>
  <si>
    <t>All Rd Types</t>
  </si>
  <si>
    <t>13 County</t>
  </si>
  <si>
    <t>Annual</t>
  </si>
  <si>
    <t>CO2eq</t>
  </si>
  <si>
    <t>NOx</t>
  </si>
  <si>
    <t>PM2.5</t>
  </si>
  <si>
    <t>Summer</t>
  </si>
  <si>
    <t>VOC</t>
  </si>
  <si>
    <t>7 County</t>
  </si>
  <si>
    <t>2010 Start Emission Rates (g/start)</t>
  </si>
  <si>
    <t>Future Enhacement</t>
  </si>
  <si>
    <t>Rural Int</t>
  </si>
  <si>
    <t>Rural Unr Access</t>
  </si>
  <si>
    <t>Urban Int</t>
  </si>
  <si>
    <t>Urban Unr Access</t>
  </si>
  <si>
    <t>ARC model specific data can be used</t>
  </si>
  <si>
    <t>Daily to Annual Conversion</t>
  </si>
  <si>
    <t>Light Duty Emission Factor CO2(g/mi)</t>
  </si>
  <si>
    <t>Light Duty Emission Factor VOC(g/mi)</t>
  </si>
  <si>
    <t>Light Duty Emission Factor NOx(g/mi)</t>
  </si>
  <si>
    <t>Light Duty Emission Factor PM NOx(g/mi)</t>
  </si>
  <si>
    <t>Highway Statistics 2010</t>
  </si>
  <si>
    <t>Truck Percentage (using the roundabout)</t>
  </si>
  <si>
    <t>Intersection Improvement (New Phase)</t>
  </si>
  <si>
    <t>Average annual miles traveled by each bus</t>
  </si>
  <si>
    <t>Bus Emission Factor for PM (g/mi)</t>
  </si>
  <si>
    <t>Average Flow Rate for the Turning Movement (veh/hr/lane)</t>
  </si>
  <si>
    <t>OR</t>
  </si>
  <si>
    <t>Annualization factor (weekdays days in a year)</t>
  </si>
  <si>
    <t>N/A</t>
  </si>
  <si>
    <t>Eliminated Annual Auto trips</t>
  </si>
  <si>
    <t>Difficult Terrain</t>
  </si>
  <si>
    <t>Number of destinations within 1/2 mile of project</t>
  </si>
  <si>
    <t>Use ARC Model conversion factor</t>
  </si>
  <si>
    <t>Annual Miles Driven</t>
  </si>
  <si>
    <t>user defined; default value of 0.98 (NHTS 2009 Summary of Travel Trends)</t>
  </si>
  <si>
    <t>user defined; default value of 1.8 ( http://www.dot.ga.gov/travelingingeorgia/bikepedestrian/Documents/Plans/ARC_BikePed_Plan_2007.pdf)</t>
  </si>
  <si>
    <t>Enter Y or N. If no, access to bus is default.</t>
  </si>
  <si>
    <t>Bicycle</t>
  </si>
  <si>
    <t>Pedestrian</t>
  </si>
  <si>
    <t>Does this project have a bicycle component?</t>
  </si>
  <si>
    <t>PM Emission Reductions</t>
  </si>
  <si>
    <t>HC Emission Reductions</t>
  </si>
  <si>
    <t>ARC/GDOT/Local Data? (http://www.fta.dot.gov/documents/WVU_FTA_LCC_Final_Report_07-23-2007.pdf)</t>
  </si>
  <si>
    <t>Volume Density Function/BPR Curve Alpha</t>
  </si>
  <si>
    <t>Volume Density Function/BPR Curve Beta</t>
  </si>
  <si>
    <t>Light Duty Emission Factor PM (g/mi)</t>
  </si>
  <si>
    <t>Existing Fuel Type Vehicle</t>
  </si>
  <si>
    <t>Alternative Fuel Type/Technology Vehicle</t>
  </si>
  <si>
    <t>Propane Car</t>
  </si>
  <si>
    <t>CNG Bus</t>
  </si>
  <si>
    <t>LNG Bus</t>
  </si>
  <si>
    <t>Hybrid Electric Bus</t>
  </si>
  <si>
    <t>Diesel Bus</t>
  </si>
  <si>
    <t>Gasoline Car</t>
  </si>
  <si>
    <t>Number of Vehicles</t>
  </si>
  <si>
    <t>Existing Total Daily Emissions GHG (g)</t>
  </si>
  <si>
    <t>Existing Total Daily Emissions VOC (g)</t>
  </si>
  <si>
    <t>Existing Total Daily Emissions PM (g)</t>
  </si>
  <si>
    <t>Improved Total Daily Emissions GHG (g)</t>
  </si>
  <si>
    <t>Improved Total Daily Emissions VOC (g)</t>
  </si>
  <si>
    <t>Improved Total Daily Emissions PM (g)</t>
  </si>
  <si>
    <t>Annual GHG Emissions due to delay (Existing/Traditional Interchange) (g)</t>
  </si>
  <si>
    <t>Annual VOC Emissions due to delay (Existing/Traditional Interchange) (g)</t>
  </si>
  <si>
    <t>Annual PM Emissions due to delay (Existing/Traditional Interchange) (g)</t>
  </si>
  <si>
    <t>Annual NOX Emissions due to delay (Existing/Traditional Interchange) (g)</t>
  </si>
  <si>
    <t>Annual GHG Emissions due to delay (Diverging Diamond Interchange) (g)</t>
  </si>
  <si>
    <t>Annual VOC Emissions due to delay (Diverging Diamond Interchange) (g)</t>
  </si>
  <si>
    <t>Annual PM Emissions due to delay (Diverging Diamond Interchange) (g)</t>
  </si>
  <si>
    <t>Annual NOX Emissions due to delay (Diverging Diamond Interchange) (g)</t>
  </si>
  <si>
    <t>Total Annual Delay due to all incidents (Highway Patrol)</t>
  </si>
  <si>
    <t>Emission Factors - Existing</t>
  </si>
  <si>
    <t>All Trucks Emission Factor CO2(g/mi)</t>
  </si>
  <si>
    <t>All Trucks Emission Factor PM (g/mi)</t>
  </si>
  <si>
    <t>All Trucks Emission Factor PM NOx(g/mi)</t>
  </si>
  <si>
    <t>Emission Factors - Improved</t>
  </si>
  <si>
    <t>Should not give credit for less than 3 centers; Destinations examples: banks, churches, hospitals, park and ride, office parks, library, shopping, schools</t>
  </si>
  <si>
    <t>Congested Travel Time before Improvements on parallel arterial</t>
  </si>
  <si>
    <t>Congested Travel Time after Improvements on parallel arterial</t>
  </si>
  <si>
    <t>Retrofits</t>
  </si>
  <si>
    <t>MOVES</t>
  </si>
  <si>
    <t>Based on California's TLSPEN program (delay reduction from HCM 2000)</t>
  </si>
  <si>
    <t>Light Duty Emission Factor CO2(g/hour)</t>
  </si>
  <si>
    <t>Light Duty Emission Factor VOC(g/hour)</t>
  </si>
  <si>
    <t>Light Duty Emission Factor NOx(g/hour)</t>
  </si>
  <si>
    <t>Light Duty Emission Factor PM (g/hour)</t>
  </si>
  <si>
    <t>Light Duty Emission Factor PM NOx(g/hour)</t>
  </si>
  <si>
    <t>Trucks SU Truck Emission Factor for CO2 (g/hour)</t>
  </si>
  <si>
    <t>Trucks SU Truck Emission Factor for VOC (g/hour)</t>
  </si>
  <si>
    <t>Trucks SU Truck Emission Factor for NOx (g/hour)</t>
  </si>
  <si>
    <t>Trucks SU Truck Emission Factor for PM (g/hour)</t>
  </si>
  <si>
    <t>Trucks SU Truck Emission Factor for PM Nox (g/hour)</t>
  </si>
  <si>
    <t>Alternative Fuel Vehicles</t>
  </si>
  <si>
    <t>Light Duty Emission Factor VOC (g/mi)</t>
  </si>
  <si>
    <t>All Trucks Emission Factor VOC (g/mi)</t>
  </si>
  <si>
    <t>Light Duty Emission Factor NOx (g/mi)</t>
  </si>
  <si>
    <t>All Trucks Emission Factor NOx (g/mi)</t>
  </si>
  <si>
    <t>Light Duty Emissions CO2(g/mi)</t>
  </si>
  <si>
    <t>Light Duty Emissions PM NOx(g/mi)</t>
  </si>
  <si>
    <t>Light Duty Emissions PM (g/mi)</t>
  </si>
  <si>
    <t>Light Duty Emissions NOx (g/mi)</t>
  </si>
  <si>
    <t>Light Duty Emissions VOC (g/mi)</t>
  </si>
  <si>
    <t>All Trucks Emissions CO2(g/mi)</t>
  </si>
  <si>
    <t>All Trucks Emissions PM NOx(g/mi)</t>
  </si>
  <si>
    <t>All Trucks Emissions PM (g/mi)</t>
  </si>
  <si>
    <t>All Trucks Emissions NOx (g/mi)</t>
  </si>
  <si>
    <t>All Trucks Emissions VOC (g/mi)</t>
  </si>
  <si>
    <t>2010 Running Emission Rates (g/mile)</t>
  </si>
  <si>
    <t>2010 Idle Emission Rates (grams/hour)</t>
  </si>
  <si>
    <t>Emissions - Existing</t>
  </si>
  <si>
    <t>Emissions - Improved</t>
  </si>
  <si>
    <t>Light Duty Emissions CO2(g)</t>
  </si>
  <si>
    <t>Light Duty Emissions PM NOx(g)</t>
  </si>
  <si>
    <t>Light Duty Emissions PM (g)</t>
  </si>
  <si>
    <t>Light Duty Emissions NOx (g)</t>
  </si>
  <si>
    <t>Light Duty Emissions VOC (g)</t>
  </si>
  <si>
    <t>Congested Speed (mph) before Improvements on parallel arterial</t>
  </si>
  <si>
    <t>Congested Speed (mph) after Improvements on parallel arterial</t>
  </si>
  <si>
    <t>Corridor Average Speed (mph) - Before Project</t>
  </si>
  <si>
    <t>Corridor Average Speed (mph) - After Project</t>
  </si>
  <si>
    <t>Bus Emission Factor CO2(g/mi)</t>
  </si>
  <si>
    <t>Bus Emission Factor PM NOx(g/mi)</t>
  </si>
  <si>
    <t>Bus Emission Factor PM (g/mi)</t>
  </si>
  <si>
    <t>Bus Emission Factor NOx (g/mi)</t>
  </si>
  <si>
    <t>Bus Emission Factor VOC (g/mi)</t>
  </si>
  <si>
    <t>Hours in Peak Period</t>
  </si>
  <si>
    <t>Annual VMT (during weekday peak periods)</t>
  </si>
  <si>
    <t>reference speed from D50, change column to MOVES road type 4</t>
  </si>
  <si>
    <t>Destination Credits</t>
  </si>
  <si>
    <t>Destinations examples: banks, churches, hospitals, park and ride, office parks, library, shopping, schools</t>
  </si>
  <si>
    <t>1/2 mile</t>
  </si>
  <si>
    <t>at least 3</t>
  </si>
  <si>
    <t>4 to 6</t>
  </si>
  <si>
    <t>&gt; 6</t>
  </si>
  <si>
    <t>Increase in transit trips based on type of access (2 percent for improved access to bus; 4 percent for improved access to fixed guideway)**</t>
  </si>
  <si>
    <t>Emission Factors - 2010 Before Project</t>
  </si>
  <si>
    <t>Emission Factors - 2010 After Project</t>
  </si>
  <si>
    <t>Emission Factors - 2020 Before Project</t>
  </si>
  <si>
    <t>Emission Factors - 2020 After Project</t>
  </si>
  <si>
    <t>Annual Emissions (during weekday peak periods) - Before Project</t>
  </si>
  <si>
    <t>Bus Emissions CO2(g)</t>
  </si>
  <si>
    <t>Bus Emissions PM NOx(g)</t>
  </si>
  <si>
    <t>Bus Emissions PM (g)</t>
  </si>
  <si>
    <t>Bus Emissions NOx (g)</t>
  </si>
  <si>
    <t>Bus Emissions VOC (g)</t>
  </si>
  <si>
    <t>All Trucks Emissions CO2(g)</t>
  </si>
  <si>
    <t>All Trucks Emissions PM NOx(g)</t>
  </si>
  <si>
    <t>All Trucks Emissions PM (g)</t>
  </si>
  <si>
    <t>All Trucks Emissions NOx (g)</t>
  </si>
  <si>
    <t>All Trucks Emissions VOC (g)</t>
  </si>
  <si>
    <t>Annual Emissions (during weekday peak periods) - After Project</t>
  </si>
  <si>
    <t>Hybrid Bus (Diesel-Electric)</t>
  </si>
  <si>
    <t>Light Rail (Electric)</t>
  </si>
  <si>
    <t>Heavy Rail (Electric)</t>
  </si>
  <si>
    <t>2010 kg CO2/Million BTU</t>
  </si>
  <si>
    <t>2020 kg CO2/Million BTU</t>
  </si>
  <si>
    <t>2010 BTU/Vehicle-Mile</t>
  </si>
  <si>
    <t>2009 BTU/Vehicle-Mile</t>
  </si>
  <si>
    <t>2030 BTU/Vehicle-Mile</t>
  </si>
  <si>
    <t>2020 BTU/Vehicle-Mile</t>
  </si>
  <si>
    <t>GHG Scale Factor (GHG/CO2)</t>
  </si>
  <si>
    <t>Data from TCRP H-41 Appendix B and C (http://onlinepubs.trb.org/onlinepubs/tcrp/tcrp_w55.pdf)</t>
  </si>
  <si>
    <t>Nox ER from electricity (g/BTU)</t>
  </si>
  <si>
    <t>PM10 ER from electricity (g/BTU)</t>
  </si>
  <si>
    <t>http://www.researchgate.net/publication/251941237_Particulate_Matter_Emissions_from_a_Coal-Fired_Power_Plant</t>
  </si>
  <si>
    <t>PM2.5 ER from electricity (g/BTU)</t>
  </si>
  <si>
    <t>EPRI</t>
  </si>
  <si>
    <t>Underlying Source</t>
  </si>
  <si>
    <t>National Transit Database</t>
  </si>
  <si>
    <t>AEO</t>
  </si>
  <si>
    <t>Model Year</t>
  </si>
  <si>
    <t>Diesel Transit Bus</t>
  </si>
  <si>
    <t>CNG Transit Bus</t>
  </si>
  <si>
    <t>Emission Rates (g/mile) from MOVES Runs (annual and July) for Fulton County, GA using national defaults</t>
  </si>
  <si>
    <t>Annual NOx</t>
  </si>
  <si>
    <t>Data Sources</t>
  </si>
  <si>
    <t>MOVES Energy Rates +EIA carbon content</t>
  </si>
  <si>
    <t>EIA factsheet for liquid fuels and AEO for electricity</t>
  </si>
  <si>
    <t>assume same as CNG</t>
  </si>
  <si>
    <t>assume same as diesel</t>
  </si>
  <si>
    <t>GHG Emission Rate (g CO2eq/veh-mile)</t>
  </si>
  <si>
    <t>PM NOx Emission Rate (g/veh-mile)</t>
  </si>
  <si>
    <t>PM2.5 Emission Rate (g/veh-mile)</t>
  </si>
  <si>
    <t>NOx Emission Rate (g/veh-mile)</t>
  </si>
  <si>
    <t>VOC Emission Rate (g/veh-mile)</t>
  </si>
  <si>
    <t>TCRP H-41 (NTD+EPRI)</t>
  </si>
  <si>
    <t>TCRP H-41 (NTD+AEO)</t>
  </si>
  <si>
    <t>Apply ratio of CNG/diesel transit buses to diesel refuse trucks from MOVES</t>
  </si>
  <si>
    <t>Diesel Refuse Truck</t>
  </si>
  <si>
    <t>CNG Refuse Truck</t>
  </si>
  <si>
    <t>assume zero since Egrid does not report VOC from electric power plants</t>
  </si>
  <si>
    <t>Passenger Cars</t>
  </si>
  <si>
    <t>Refuse Trucks</t>
  </si>
  <si>
    <t>Energy Rate (BTU/mile)</t>
  </si>
  <si>
    <t>2010 MY GHG Emission Rate (g CO2eq/veh-mile)</t>
  </si>
  <si>
    <t>2010 MY PM NOx Emission Rate (g/veh-mile)</t>
  </si>
  <si>
    <t>2010 MY PM2.5 Emission Rate (g/veh-mile)</t>
  </si>
  <si>
    <t>2010 MY NOx Emission Rate (g/veh-mile)</t>
  </si>
  <si>
    <t>2010 MY VOC Emission Rate (g/veh-mile)</t>
  </si>
  <si>
    <t>2020 MY  GHG Emission Rate (g CO2eq/veh-mile)</t>
  </si>
  <si>
    <t>2020 MY  PM NOx Emission Rate (g/veh-mile)</t>
  </si>
  <si>
    <t>2020 MY  PM2.5 Emission Rate (g/veh-mile)</t>
  </si>
  <si>
    <t>2020 MY  NOx Emission Rate (g/veh-mile)</t>
  </si>
  <si>
    <t>2020 MY  VOC Emission Rate (g/veh-mile)</t>
  </si>
  <si>
    <t>?</t>
  </si>
  <si>
    <t>Emission Factor for GHG (g CO2eq/mi)</t>
  </si>
  <si>
    <t>Emission Factor for PM Nox (g/mi)</t>
  </si>
  <si>
    <t>Emission Factor for PM2.5 (g/mi)</t>
  </si>
  <si>
    <t>Emission Factor for NOx (g/mi)</t>
  </si>
  <si>
    <t>Emission Factor for VOC (g/mi)</t>
  </si>
  <si>
    <t>Light Duty Vehicle Emission Factors</t>
  </si>
  <si>
    <t>Transit Vehicle Emission Factors</t>
  </si>
  <si>
    <t>G</t>
  </si>
  <si>
    <t>2010 Avg. Onroad Fleet GHG Emission Rate (g CO2eq/veh-mile)</t>
  </si>
  <si>
    <t>2010 Avg. Onroad Fleet PM NOx Emission Rate (g/veh-mile)</t>
  </si>
  <si>
    <t>2010 Avg. Onroad Fleet PM2.5 Emission Rate (g/veh-mile)</t>
  </si>
  <si>
    <t>2010 Avg. Onroad Fleet NOx Emission Rate (g/veh-mile)</t>
  </si>
  <si>
    <t>2010 Avg. Onroad Fleet VOC Emission Rate (g/veh-mile)</t>
  </si>
  <si>
    <t>2020 Avg. Onroad Fleet  GHG Emission Rate (g CO2eq/veh-mile)</t>
  </si>
  <si>
    <t>2020 Avg. Onroad Fleet  PM NOx Emission Rate (g/veh-mile)</t>
  </si>
  <si>
    <t>2020 Avg. Onroad Fleet  PM2.5 Emission Rate (g/veh-mile)</t>
  </si>
  <si>
    <t>2020 Avg. Onroad Fleet  NOx Emission Rate (g/veh-mile)</t>
  </si>
  <si>
    <t>2020 Avg. Onroad Fleet  VOC Emission Rate (g/veh-mile)</t>
  </si>
  <si>
    <t>Gasoline Passenger Car</t>
  </si>
  <si>
    <t>Source</t>
  </si>
  <si>
    <t>MOVES Inventory runs</t>
  </si>
  <si>
    <t>assume 20% more efficient than diesel (TCRP H-41 assumption)</t>
  </si>
  <si>
    <t>Existing Number of Lanes (one direction)</t>
  </si>
  <si>
    <t>Morning Peak - Inbound</t>
  </si>
  <si>
    <t>Afternoon Peak - Outbound</t>
  </si>
  <si>
    <t>Truck Percentage (one direction)</t>
  </si>
  <si>
    <t>Note: assume delay reduction benefits during off-peak times are marginal</t>
  </si>
  <si>
    <t>Average corridor travel time (one direction) during peak period (minutes)</t>
  </si>
  <si>
    <t>Auto VMT (one direction)</t>
  </si>
  <si>
    <t>Truck VMT (one direction)</t>
  </si>
  <si>
    <t>Signal Synchronization</t>
  </si>
  <si>
    <t>Average hourly volume during peak period (one direction)</t>
  </si>
  <si>
    <t>Transit Signal Priority</t>
  </si>
  <si>
    <t>Wait Time Elasticity</t>
  </si>
  <si>
    <t>Percent of Total Travel Time Spent Waiting</t>
  </si>
  <si>
    <t>Percent of Total Travel Time Spent Waiting - After RTI</t>
  </si>
  <si>
    <t>http://www.nctr.usf.edu/pdf/527-09.pdf [page 26]</t>
  </si>
  <si>
    <t>http://www.its.ucla.edu/research/EPIC/Appendix%20A.pdf [page 8]</t>
  </si>
  <si>
    <t>Facility Type - Street 1 (with TSP)</t>
  </si>
  <si>
    <t>Green to Cycle Length Ratio with TSP - Street 1</t>
  </si>
  <si>
    <t>Green to Cycle Length Ratio with TSP - Street 2</t>
  </si>
  <si>
    <t>Roadway</t>
  </si>
  <si>
    <t>Travel Time Elasticity with Respect to Ridership</t>
  </si>
  <si>
    <t>Current Peak Hour Street 2 Delay (s/veh) (Calculated)</t>
  </si>
  <si>
    <t>Emission Factors - Light Duty and Trucks</t>
  </si>
  <si>
    <t>Peak Hour Street 2 Delay with TSP Granted (s/veh) (Calculated)</t>
  </si>
  <si>
    <t>Probability of Bus Arriving during a Cycle</t>
  </si>
  <si>
    <t>Current Peak Hour Street 1 &amp; Transit Delay (s/veh) (Calculated)</t>
  </si>
  <si>
    <t>Peak Hour Street 1 &amp; Transit Delay with TSP Granted (s/veh) (Calculated)</t>
  </si>
  <si>
    <t>Peak Hour Delay</t>
  </si>
  <si>
    <t>Intersection Delay</t>
  </si>
  <si>
    <t>Intersection Peak Hour Delay with no TSP (Veh-hr)</t>
  </si>
  <si>
    <t>Intersection Peak Hour Delay with TSP (Veh-hr)</t>
  </si>
  <si>
    <t>Roadway Capacity</t>
  </si>
  <si>
    <t>Transit Improvements</t>
  </si>
  <si>
    <t>Ridership Change due to TSP Travel Time Improvements</t>
  </si>
  <si>
    <t>Transit Vehicles</t>
  </si>
  <si>
    <t>Maximum Green Time Extension + Maximum Red Time Truncation (seconds)</t>
  </si>
  <si>
    <t>Change in Green to Cycle Length Ratio with addition of TSP</t>
  </si>
  <si>
    <t>http://www.epa.gov/otaq/stateresources/policy/420r11025.pdf</t>
  </si>
  <si>
    <t>Street 1 v/c ratio</t>
  </si>
  <si>
    <t xml:space="preserve">Street 2 v/c ratio </t>
  </si>
  <si>
    <t>Average Peak Hour Volume - Street 1</t>
  </si>
  <si>
    <t>Average Peak Hour Volume - Street 2</t>
  </si>
  <si>
    <t>Average Existing Number of Lanes - Street 1 (with TSP)</t>
  </si>
  <si>
    <t>Average Existing Number of Lanes - Street 2</t>
  </si>
  <si>
    <t>Number of Intersections with TSP in Corridor</t>
  </si>
  <si>
    <t>Current Average Intersection Delay to Buses (minutes per trip)</t>
  </si>
  <si>
    <t>Improved Average Intersection Delay to Buses due to TSP (minutes per trip)</t>
  </si>
  <si>
    <t>Average Corridor Travel Time for Buses (one direction, minutes)</t>
  </si>
  <si>
    <t>Transit Vehicle Emission Factors - Idle</t>
  </si>
  <si>
    <t>Number of Transit Trips (both directions)</t>
  </si>
  <si>
    <t>Average Trip Length (miles)</t>
  </si>
  <si>
    <t>Reduction in Annual Transit Vehicle Hours of Delay</t>
  </si>
  <si>
    <t>Added Annual GHG Emissions (g CO2eq)</t>
  </si>
  <si>
    <t>North (Approach 1)</t>
  </si>
  <si>
    <t>West (Approach 4)</t>
  </si>
  <si>
    <t>East (Approach 3)</t>
  </si>
  <si>
    <t>South (Approach 2)</t>
  </si>
  <si>
    <t>Peak Hour Factor (PHF)</t>
  </si>
  <si>
    <t>Urban Default = 0.92, Rural Default = 0.88, NCHRP Report 599</t>
  </si>
  <si>
    <t>Proposed Number of Lanes for Roundabout</t>
  </si>
  <si>
    <t>Light Duty Emission Factor CO2(g/mile)</t>
  </si>
  <si>
    <t>Light Duty Emission Factor VOC(g/mile)</t>
  </si>
  <si>
    <t>Light Duty Emission Factor NOx(g/mile)</t>
  </si>
  <si>
    <t>Light Duty Emission Factor PM (g/mile)</t>
  </si>
  <si>
    <t>Light Duty Emission Factor PM NOx(g/mile)</t>
  </si>
  <si>
    <t>Added Annual VOC Nox Emissions (g)</t>
  </si>
  <si>
    <t>Added Annual NOx Emissions (g)</t>
  </si>
  <si>
    <t>Added Annual PM Emissions (g)</t>
  </si>
  <si>
    <t>Added Annual PM NOx Emissions (g)</t>
  </si>
  <si>
    <t>Hourly Volume Approach 3 (East)</t>
  </si>
  <si>
    <t>Hourly Volume Approach 4 (West)</t>
  </si>
  <si>
    <t>Delay Calculation</t>
  </si>
  <si>
    <t>Hourly Volume Approach 2 (South)</t>
  </si>
  <si>
    <t>Annual PM NOx Emissions due to delay (Existing/Traditional Interchange) (g)</t>
  </si>
  <si>
    <t>Annual PM NOx Emissions due to delay (Diverging Diamond Interchange) (g)</t>
  </si>
  <si>
    <t>Existing Total Daily Emissions PM NOx (g)</t>
  </si>
  <si>
    <t>Existing Total Daily Emissions NOx (g)</t>
  </si>
  <si>
    <t>Improved Total Daily Emissions PM NOx (g)</t>
  </si>
  <si>
    <t>Improved Total Daily Emissions NOx (g)</t>
  </si>
  <si>
    <t>Emission Factor CO2(g/hour)</t>
  </si>
  <si>
    <t>Emission Factor PM NOx(g/hour)</t>
  </si>
  <si>
    <t>Emission Factor PM (g/hour)</t>
  </si>
  <si>
    <t>Emission Factor NOx(g/hour)</t>
  </si>
  <si>
    <t>Emission Factor VOC(g/hour)</t>
  </si>
  <si>
    <t>Total Daily Emissions with TSP Activiation GHG (g)</t>
  </si>
  <si>
    <t>Total Daily Emissions with TSP Activiation PM NOx (g)</t>
  </si>
  <si>
    <t>Total Daily Emissions with TSP Activiation PM (g)</t>
  </si>
  <si>
    <t>Total Daily Emissions with TSP Activiation NOx (g)</t>
  </si>
  <si>
    <t>Total Daily Emissions with TSP Activiation VOC (g)</t>
  </si>
  <si>
    <t>Total Daily Emissions without TSP Activiation GHG (g)</t>
  </si>
  <si>
    <t>Total Daily Emissions without TSP Activiation PM NOx (g)</t>
  </si>
  <si>
    <t>Total Daily Emissions without TSP Activiation PM (g)</t>
  </si>
  <si>
    <t>Total Daily Emissions without TSP Activiation NOx (g)</t>
  </si>
  <si>
    <t>Total Daily Emissions without TSP Activiation VOC (g)</t>
  </si>
  <si>
    <t>Passenger Vehicles</t>
  </si>
  <si>
    <t>Entry / Conflicting Flow Rate - Roundabout</t>
  </si>
  <si>
    <t>Adjusted Flow - North (Approach 1)</t>
  </si>
  <si>
    <t>Adjusted Flow - East (Approach 3)</t>
  </si>
  <si>
    <t>Adjusted Flow - South (Approach 2)</t>
  </si>
  <si>
    <t>Adjusted Flow - West (Approach 4)</t>
  </si>
  <si>
    <t>Improved Delay Approach 1 (s/veh)</t>
  </si>
  <si>
    <t>Improved Delay Approach 2 (s/veh)</t>
  </si>
  <si>
    <t>Improved Delay  Approach 3 (s/veh)</t>
  </si>
  <si>
    <t>Improved Delay  Approach 4 (s/veh)</t>
  </si>
  <si>
    <t>Total Hourly Volume Approach 1 (North)</t>
  </si>
  <si>
    <t>Percentage of Left Turns Approach 1 (North)</t>
  </si>
  <si>
    <t>Percentage of Right Turns Approach 1 (North)</t>
  </si>
  <si>
    <t>Percentage of Left Turns Approach 2 (South)</t>
  </si>
  <si>
    <t>Percentage of Right Turns Approach 2 (South)</t>
  </si>
  <si>
    <t>Percentage of Left Turns Approach 3 (East)</t>
  </si>
  <si>
    <t>Percentage of Right Turns Approach 3 (East)</t>
  </si>
  <si>
    <t>Entry Flow (pc/h)</t>
  </si>
  <si>
    <t>Conflicting Flow (pc/h)</t>
  </si>
  <si>
    <t>For 2 lane roundabouts, averaged the capacity for right and left lanes</t>
  </si>
  <si>
    <t>Capacity - Approach 1 (pc/h)</t>
  </si>
  <si>
    <t>Capacity - Approach 2 (pc/h)</t>
  </si>
  <si>
    <t>Capacity - Approach 3 (pc/h)</t>
  </si>
  <si>
    <t>Capacity - Approach 4 (pc/h)</t>
  </si>
  <si>
    <t>Heavy Vehicle Adjustment Factor</t>
  </si>
  <si>
    <t>V/C Approach 1 (veh/h)</t>
  </si>
  <si>
    <t>V/C Approach 2 (veh/h)</t>
  </si>
  <si>
    <t>V/C Approach 3 (veh/h)</t>
  </si>
  <si>
    <t>V/C Approach 4 (veh/h)</t>
  </si>
  <si>
    <t>Total Travel Time Change due to TSP</t>
  </si>
  <si>
    <t>Watkins, Ferris, Borning, Rutherford, Layton, Where Is My Bus? Impact of mobile real-time information, 2011</t>
  </si>
  <si>
    <t>Street 1</t>
  </si>
  <si>
    <t>Street 2</t>
  </si>
  <si>
    <t>Other Inputs</t>
  </si>
  <si>
    <t>10% is common - TSP Planning and Implementation Handbook</t>
  </si>
  <si>
    <t>Percentage of Left Turns Approach 4 (West)</t>
  </si>
  <si>
    <t>Percentage of Right Turns Approach 4 (West)</t>
  </si>
  <si>
    <t>Northbound</t>
  </si>
  <si>
    <t>Southbound</t>
  </si>
  <si>
    <t>Annual average daily traffic (ADT) between start/end of route</t>
  </si>
  <si>
    <t>Transit Signal Priority Hours of Service Per Day</t>
  </si>
  <si>
    <t>Average Existing Intersection Signal Cycle Length (sec)</t>
  </si>
  <si>
    <t>MODEL PARAMETERS</t>
  </si>
  <si>
    <t>General Information / Parameter</t>
  </si>
  <si>
    <t>Default Values</t>
  </si>
  <si>
    <t>Units</t>
  </si>
  <si>
    <t>Source / Comments</t>
  </si>
  <si>
    <t xml:space="preserve">Incident Management </t>
  </si>
  <si>
    <t>SCENARIO YEAR OUTPUTS</t>
  </si>
  <si>
    <t>RESULTS</t>
  </si>
  <si>
    <t>EMISSION FACTORS AND CONSTANTS</t>
  </si>
  <si>
    <t>CALCULATION INPUTS</t>
  </si>
  <si>
    <t>ft</t>
  </si>
  <si>
    <t>veh/hr</t>
  </si>
  <si>
    <t>user-defined</t>
  </si>
  <si>
    <t>hours</t>
  </si>
  <si>
    <t>Total Average Delay per Incident resulting in partial blockage(IMS)</t>
  </si>
  <si>
    <t>Assumptions on lanes open during partial closures</t>
  </si>
  <si>
    <t>Value</t>
  </si>
  <si>
    <t>Data Type</t>
  </si>
  <si>
    <t>Posted Free Flow Speed (mph)</t>
  </si>
  <si>
    <t>Total Average Delay per Incident resulting in partial blockage(IMS) (hours)</t>
  </si>
  <si>
    <t>Total Average Delay per Incident resulting in partial blockage(Highway Patrol) (hours)</t>
  </si>
  <si>
    <t>Total Average Delay per Incident resulting in completely blockage(IMS) (hours)</t>
  </si>
  <si>
    <t>Total Average Delay per Incident resulting in completely blockage(Highway Patrol) (hours)</t>
  </si>
  <si>
    <t>Maximum Length of the Queue (IMS vs Highway Patrol) (veh)</t>
  </si>
  <si>
    <t>Total Annual Delay Reduced due to deployment of IMS on the corridor (Veh-hrs)</t>
  </si>
  <si>
    <t>Emission Factor by Year</t>
  </si>
  <si>
    <t>User-Defined Values</t>
  </si>
  <si>
    <t>From a Travel Demand Model Using Origin / Destination Data</t>
  </si>
  <si>
    <t>Intersection Improvements</t>
  </si>
  <si>
    <t>Assumptions on lanes open during partial closures in 'OtherVariables' tab</t>
  </si>
  <si>
    <t>TOTAL REDUCTION</t>
  </si>
  <si>
    <t>Results</t>
  </si>
  <si>
    <t>Scenerio Year</t>
  </si>
  <si>
    <t>Values</t>
  </si>
  <si>
    <t>Intersection - Capacity and Phase</t>
  </si>
  <si>
    <t>Roundabout</t>
  </si>
  <si>
    <t>Intersection - New Phase</t>
  </si>
  <si>
    <t>Intersection - New Signal</t>
  </si>
  <si>
    <t>veh/hr/lane</t>
  </si>
  <si>
    <t>Average Flow Rate for the Turning Movement</t>
  </si>
  <si>
    <t>Professional practice for a simplified calculation</t>
  </si>
  <si>
    <t>pcu/hr</t>
  </si>
  <si>
    <t>0.95 or 0.85</t>
  </si>
  <si>
    <t>0.95 for LT or 0.85 for RT</t>
  </si>
  <si>
    <t>s/veh</t>
  </si>
  <si>
    <t>Peak Hour Intersection Delay before Improvement</t>
  </si>
  <si>
    <t>Emission Factor</t>
  </si>
  <si>
    <t>Calculated</t>
  </si>
  <si>
    <t>Travel Time Savings</t>
  </si>
  <si>
    <t>mins</t>
  </si>
  <si>
    <t>CONSTANTS</t>
  </si>
  <si>
    <t>Average annual miles traveled for Buses</t>
  </si>
  <si>
    <t>miles</t>
  </si>
  <si>
    <t>Scenario Year (Equals Model Year of Alternative Fuel Vehicle)</t>
  </si>
  <si>
    <t>Bike, Ped, and Transit</t>
  </si>
  <si>
    <t>User defined (values from APTA - 5.2 and FTA - 10.2)</t>
  </si>
  <si>
    <t>5.2, 10.2</t>
  </si>
  <si>
    <t>Average length of transit trips</t>
  </si>
  <si>
    <t>Average length of pedestrian trips</t>
  </si>
  <si>
    <t>Average length of bicycle trips</t>
  </si>
  <si>
    <t>User defined; default value of 1.8 (http://www.dot.ga.gov/travelingingeorgia/bikepedestrian/Documents/Plans/ARC_BikePed_Plan_2007.pdf)</t>
  </si>
  <si>
    <t>Used to convert ADT to AADT</t>
  </si>
  <si>
    <t>NCHRP Report 716 Table 4.25 for Multilane Highways with free flow speed of 50 mph (see table under 'OtherVariables' Tab</t>
  </si>
  <si>
    <t>User defined; default value of 0.98 (NHTS 2009 Summary of Travel Trends) http://nhts.ornl.gov/2009/pub/stt.pdf</t>
  </si>
  <si>
    <t>Look Up Table Values and Other constants</t>
  </si>
  <si>
    <t>Current Employer Based Commute Strategies</t>
  </si>
  <si>
    <t>Area Characteristics</t>
  </si>
  <si>
    <t>New Transit</t>
  </si>
  <si>
    <t>Average Trip Length</t>
  </si>
  <si>
    <t>Based on area type and population density
http://www.cutr.usf.edu/research/propensity.PDF</t>
  </si>
  <si>
    <t>user-inputs</t>
  </si>
  <si>
    <t>calculated</t>
  </si>
  <si>
    <t>Formula from http://www.sciencedirect.com/science/article/pii/S1877042811010275</t>
  </si>
  <si>
    <t>DAILY EMISSION OUTPUTS</t>
  </si>
  <si>
    <t>0.92, Urban
0.88 Rural</t>
  </si>
  <si>
    <t>Capacity Calculation</t>
  </si>
  <si>
    <t>NCHRP Report 716 Table 4.25 for Freeways with free flow speed of 60 mph (see table under 'OtherVariables' tab)</t>
  </si>
  <si>
    <t>veh/ln/hr</t>
  </si>
  <si>
    <t>Lane Capacity  - Before Project</t>
  </si>
  <si>
    <t>Lane Capacity - After Project</t>
  </si>
  <si>
    <t>Lookup using ARC table under 'OtherVariables' tab</t>
  </si>
  <si>
    <t>mph</t>
  </si>
  <si>
    <t>Free flow speed</t>
  </si>
  <si>
    <t>ARC Model User's Guide, based on area and facility type</t>
  </si>
  <si>
    <t>Lookup using  HCM tables (min operating speed and FFS); Alternatively, lookup using speed vs. flow diagram (min operating speed), both under 'OtherVariables' tab</t>
  </si>
  <si>
    <t>Lookup using  HCM tables under 'OtherVariables' tab (based on LOS and operating speed when users think it is worth paying toll)</t>
  </si>
  <si>
    <t>Is Real-Time Information Available?</t>
  </si>
  <si>
    <t>ADDED TRANSIT EMISSIONS (DUE TO ADDED TRANSIT TRIPS / NEW TRANSIT SERVICE)</t>
  </si>
  <si>
    <t>New Transit Service and/or Transit Technology</t>
  </si>
  <si>
    <t>NCHRP Report 716 Table 4.25 for Multilane Highways with free flow speed of 50 mph (see table in 'OtherVariables' tab)</t>
  </si>
  <si>
    <t>Regionally Significant Bicycle/Pedestrian</t>
  </si>
  <si>
    <t>Commute percentage - Bicycles</t>
  </si>
  <si>
    <t>Commute percentage - Pedestrians</t>
  </si>
  <si>
    <t>http://www.nhtsa.gov/staticfiles/nti/pdf/811841b.pdf</t>
  </si>
  <si>
    <t>Use look-ups in 'OtherVariables' Tab in this spreadsheet for guidance based on capacity by functional class</t>
  </si>
  <si>
    <t>Predicted Total Daily Bicycle Demand for Facility</t>
  </si>
  <si>
    <t>Predicted total Daily Pedestrian Demand for Facility</t>
  </si>
  <si>
    <t>Annual average daily traffic (ADT) between the origin and destination of route</t>
  </si>
  <si>
    <t>Regionally Significant Bicycle + Pedestrian Facility</t>
  </si>
  <si>
    <t>Truck percent</t>
  </si>
  <si>
    <t>Advanced Traffic Management System (ATMS)</t>
  </si>
  <si>
    <t>Reduction delay off the control delay</t>
  </si>
  <si>
    <t>Does the Project Include an Adaptive Signal System?</t>
  </si>
  <si>
    <t>12% and 31.5%</t>
  </si>
  <si>
    <t>For Non-Adaptive Signal Systems: Georgia Department of Transportation, Regional Traffic Operations Program, before/after study
For Adaptive Signal Systems: Average Delay Reduction http://www.itsbenefits.its.dot.gov/its/benecost.nsf/0/B56A52DA1C256C8E8525725F00691912</t>
  </si>
  <si>
    <t>CONSTANTS &amp; EMISSION FACTORS</t>
  </si>
  <si>
    <t>Improved Total Daily Emissions CO2 (g)</t>
  </si>
  <si>
    <t>Average Peak Hour Intersection Delay before ATMS (s/veh)</t>
  </si>
  <si>
    <t>Peak Hour Intersection Delay After Improvement (s/veh) (Calculated)</t>
  </si>
  <si>
    <t>Number of Intersections along Corridor</t>
  </si>
  <si>
    <t>Light Duty Emission Factor CO2 (g/hour)</t>
  </si>
  <si>
    <t>Light Duty Emission Factor PM NOx (g/hour)</t>
  </si>
  <si>
    <t>Light Duty Emission Factor NOx (g/hour)</t>
  </si>
  <si>
    <t>Light Duty Emission Factor VOC (g/hour)</t>
  </si>
  <si>
    <t>Truck Emission Factor CO2 (g/hour)</t>
  </si>
  <si>
    <t>Truck Emission Factor PM NOx (g/hour)</t>
  </si>
  <si>
    <t>Truck Emission Factor PM (g/hour)</t>
  </si>
  <si>
    <t>Truck Emission Factor NOx (g/hour)</t>
  </si>
  <si>
    <t>Truck Emission Factor VOC (g/hour)</t>
  </si>
  <si>
    <t>Number of Weekdays per Year</t>
  </si>
  <si>
    <t>Peak Hour Volume Along Corridor</t>
  </si>
  <si>
    <t>Delay after Improvement (s/veh)</t>
  </si>
  <si>
    <t>Estimated Annual Transit Ridership (known daily ridership)</t>
  </si>
  <si>
    <t>Total Annual Reductions in GHG emissions (g CO2 /year)</t>
  </si>
  <si>
    <t>Total Annual Reductions in PM NOx Emissions (g/year)</t>
  </si>
  <si>
    <t>Total Annual Reductions in PM Emissions (g/year)</t>
  </si>
  <si>
    <t>Total Annual Reductions in NOx Emissions (g/year)</t>
  </si>
  <si>
    <t>Total Annual Reductions in VOC Emissions (g/year)</t>
  </si>
  <si>
    <t>Added Transit GHG Emissions (g CO2eq /year)</t>
  </si>
  <si>
    <t>Added Transit PM Nox Emissions (g/year)</t>
  </si>
  <si>
    <t>Added Transit PM2.5 Emissions (g/year)</t>
  </si>
  <si>
    <t>Added Transit Nox Emissions (g/year)</t>
  </si>
  <si>
    <t>Added Transit VOC Emissions (g/year)</t>
  </si>
  <si>
    <t>Type of New/Current Transit Service</t>
  </si>
  <si>
    <t>Estimated Added Annual Transit Ridership due to Real-Time Information</t>
  </si>
  <si>
    <t>Eliminated Annual Auto VMT due to Real-Time Information</t>
  </si>
  <si>
    <t>Total Eliminated Annual Auto VMT</t>
  </si>
  <si>
    <t>VEHICLE EMISSION REDUCTION DUE TO REAL-TIME INFORMATION</t>
  </si>
  <si>
    <t>Annual Emissions - Existing</t>
  </si>
  <si>
    <t>Annual Emissions - Improved</t>
  </si>
  <si>
    <t>Emissions</t>
  </si>
  <si>
    <t>EMISSIONS</t>
  </si>
  <si>
    <t>Commute Strategies</t>
  </si>
  <si>
    <t>Bicycle + Pedestrian + Transit</t>
  </si>
  <si>
    <t>Weighted Average Percent Trucks</t>
  </si>
  <si>
    <t>Congested Travel Time before Improvements on parallel arterial (mins)</t>
  </si>
  <si>
    <t>Congested Travel Time after Improvements on parallel arterial (mins)</t>
  </si>
  <si>
    <t>Trucks Emission Factor for VOC (g/mi)</t>
  </si>
  <si>
    <t>Bus Emission Factor for VOC (g/mi)</t>
  </si>
  <si>
    <t>Weighted Truck Percentage</t>
  </si>
  <si>
    <t>Typical Diesel Oxidation Catalysts (DOC) PM Reductions (%)</t>
  </si>
  <si>
    <t>Typical Diesel Particulate Filter (DPF) PM Emission Reductions (%)</t>
  </si>
  <si>
    <t>Typical Diesel Oxidation Catalysts (DOC) HC Reductions (%)</t>
  </si>
  <si>
    <t>Typical Diesel Particulate Filter (DPF) HC Reductions (%)</t>
  </si>
  <si>
    <t>Retrofit Technology</t>
  </si>
  <si>
    <t>Diesel Oxidation Catalyst (DOC)</t>
  </si>
  <si>
    <t>Diesel Particulate Filter (DPF)</t>
  </si>
  <si>
    <t>Number of Vehicles Retrofitted</t>
  </si>
  <si>
    <t>Technologies Diesel Retrofit Devices, National Clean Diesel Campaign, EPA (20% to 40%) - http://www.epa.gov/cleandiesel/technologies/retrofits.htm</t>
  </si>
  <si>
    <t>Technologies Diesel Retrofit Devices, National Clean Diesel Campaign, EPA (85% to 95%) - http://www.epa.gov/cleandiesel/technologies/retrofits.htm</t>
  </si>
  <si>
    <t>Technologies Diesel Retrofit Devices, National Clean Diesel Campaign, EPA (40% to 70%) - http://www.epa.gov/cleandiesel/technologies/retrofits.htm</t>
  </si>
  <si>
    <t>Total PM Emissions without retrofit (g)</t>
  </si>
  <si>
    <t>Total PM Emissions after retrofit (g)</t>
  </si>
  <si>
    <t>Annual Total Truck Fleet VMT</t>
  </si>
  <si>
    <t>Annual Bus Fleet VMT</t>
  </si>
  <si>
    <t>Eliminated Annual VMT</t>
  </si>
  <si>
    <t>Total Annual Reductions in GHG emissions (g/year)</t>
  </si>
  <si>
    <t>Total Annual Reductions in PM NOx emissions (g/year)</t>
  </si>
  <si>
    <t>Total Annual Reductions in PM emissions (g/year)</t>
  </si>
  <si>
    <t>Total Annual Reductions in NOx emissions (g/year)</t>
  </si>
  <si>
    <t>Total Annual Reductions in VOC emissions (g/year)</t>
  </si>
  <si>
    <t>Total VOC Emissions without retrofit (g)</t>
  </si>
  <si>
    <t>Total VOC Emissions after retrofit (g)</t>
  </si>
  <si>
    <t>ATMS</t>
  </si>
  <si>
    <t>Regionally Significant Bike/Ped Facility</t>
  </si>
  <si>
    <t>LOS</t>
  </si>
  <si>
    <t>Control Delay per vehicle</t>
  </si>
  <si>
    <t>(seconds per vehicle)</t>
  </si>
  <si>
    <t>≤ 10</t>
  </si>
  <si>
    <t>&gt; 10-20</t>
  </si>
  <si>
    <t>&gt; 20-35</t>
  </si>
  <si>
    <t>&gt; 35-55</t>
  </si>
  <si>
    <t>&gt; 55-80</t>
  </si>
  <si>
    <t>&gt; 80</t>
  </si>
  <si>
    <t>Level of Service Criteria for Signalized Intersections from HCM 2000</t>
  </si>
  <si>
    <t>General Description</t>
  </si>
  <si>
    <t>(signalized intersections)</t>
  </si>
  <si>
    <t>Free Flow</t>
  </si>
  <si>
    <t>Stable Flow (slight delays)</t>
  </si>
  <si>
    <t>Stable Flow (acceptable delays)</t>
  </si>
  <si>
    <t xml:space="preserve">Approaching unstable flow (tolerable delay, occasionally wait  through more than one signal cycle before proceeding) </t>
  </si>
  <si>
    <t xml:space="preserve">Unstable flow (intolerable delay) </t>
  </si>
  <si>
    <t xml:space="preserve">Forced flow (jammed) </t>
  </si>
  <si>
    <t>Level of Service Criteria for Unsignalized Intersections from HCM 2000</t>
  </si>
  <si>
    <t>New Employer Based Commute Strategies</t>
  </si>
  <si>
    <t>Turning Movements Peak Hour Volume</t>
  </si>
  <si>
    <t>Peak Hour Average Delay (s/veh)</t>
  </si>
  <si>
    <t>Number of Lanes (one direction)</t>
  </si>
  <si>
    <t>Hourly Volume Along Facility (Veh/hr in one direction)</t>
  </si>
  <si>
    <t>Annual Number of Incidents (in one direction)</t>
  </si>
  <si>
    <r>
      <t xml:space="preserve">Number of diesel </t>
    </r>
    <r>
      <rPr>
        <b/>
        <sz val="11"/>
        <color theme="1"/>
        <rFont val="Calibri"/>
        <family val="2"/>
        <scheme val="minor"/>
      </rPr>
      <t xml:space="preserve">buses </t>
    </r>
    <r>
      <rPr>
        <sz val="11"/>
        <color theme="1"/>
        <rFont val="Calibri"/>
        <family val="2"/>
        <scheme val="minor"/>
      </rPr>
      <t>proposed to be retrofitted (built after 1995 if using DPF)</t>
    </r>
  </si>
  <si>
    <r>
      <t xml:space="preserve">Number of </t>
    </r>
    <r>
      <rPr>
        <b/>
        <sz val="11"/>
        <color theme="1"/>
        <rFont val="Calibri"/>
        <family val="2"/>
        <scheme val="minor"/>
      </rPr>
      <t>trucks</t>
    </r>
    <r>
      <rPr>
        <sz val="11"/>
        <color theme="1"/>
        <rFont val="Calibri"/>
        <family val="2"/>
        <scheme val="minor"/>
      </rPr>
      <t xml:space="preserve"> proposed to be retrofitted (built after 1995 if using DPF)</t>
    </r>
  </si>
  <si>
    <t>* http://www.afdc.energy.gov/vehicles/natural_gas_emissions.html GREET model estimates CNG GHG rates are 6-11% lower than gas, using 8.5%</t>
  </si>
  <si>
    <t>*GHG from 2010 Ford Focus (fuel economy.gov)</t>
  </si>
  <si>
    <t>*Assuming = to pass car</t>
  </si>
  <si>
    <t>*These are not based on a model year analysis, but rather a reduction in emissions based on a TX study applied to existing truck emissions</t>
  </si>
  <si>
    <t>Diesel Single Unit Short Haul (SRC=52)</t>
  </si>
  <si>
    <t>Diesel Light Commercial (SRC=32)</t>
  </si>
  <si>
    <t>Diesel Passenger Truck (SRC=31)</t>
  </si>
  <si>
    <t>Diesel Passenger Car (SRC=21)</t>
  </si>
  <si>
    <t>Diesel School Bus (SRC=43)</t>
  </si>
  <si>
    <t>gas Single Unit Short Haul (SRC=52)</t>
  </si>
  <si>
    <t>gas Light Commercial (SRC=32)</t>
  </si>
  <si>
    <t>gas Passenger Truck (SRC=31)</t>
  </si>
  <si>
    <t>gas Passenger Car (SRC=21)</t>
  </si>
  <si>
    <t>Hybrid Car</t>
  </si>
  <si>
    <t>CNG School Bus</t>
  </si>
  <si>
    <t>CNG Single Unit Short Haul
(Class 6-8)</t>
  </si>
  <si>
    <t>CNG Light Commercial
(CLASS 3-5)</t>
  </si>
  <si>
    <t>CNG Passenger Truck</t>
  </si>
  <si>
    <t>CNG Passenger Car</t>
  </si>
  <si>
    <t>Propane Medium Truck</t>
  </si>
  <si>
    <t>Propane Passenger Truck</t>
  </si>
  <si>
    <t>Propane Car (note propane=LPG) 
TX study</t>
  </si>
  <si>
    <t>Annual Miles Traveled per Vehicle</t>
  </si>
  <si>
    <t>Annual VMT (all vehicles in fleet)</t>
  </si>
  <si>
    <t>CNG Car</t>
  </si>
  <si>
    <t>CNG Pas.Truck</t>
  </si>
  <si>
    <t>CNG MedTruck</t>
  </si>
  <si>
    <t>CNG HeavyTruck</t>
  </si>
  <si>
    <t>Diesel SchoolBus</t>
  </si>
  <si>
    <t>CNG SchoolBus</t>
  </si>
  <si>
    <t>Diesel Car</t>
  </si>
  <si>
    <t>Diesel Pas.Truck</t>
  </si>
  <si>
    <t>Diesel MedTruck</t>
  </si>
  <si>
    <t>Diesel HeavyTruck</t>
  </si>
  <si>
    <t>Gas Pas.Truck</t>
  </si>
  <si>
    <t>Gas MedTruck</t>
  </si>
  <si>
    <t>Gas HeavyTruck</t>
  </si>
  <si>
    <t>Propane Pas.Truck</t>
  </si>
  <si>
    <t>Propane MediumTruk</t>
  </si>
  <si>
    <t>Existing Vehicle Emissions Factors</t>
  </si>
  <si>
    <t>L</t>
  </si>
  <si>
    <t>M</t>
  </si>
  <si>
    <t>O</t>
  </si>
  <si>
    <t>Z</t>
  </si>
  <si>
    <t>P</t>
  </si>
  <si>
    <t>AA</t>
  </si>
  <si>
    <t>AB</t>
  </si>
  <si>
    <t>AC</t>
  </si>
  <si>
    <t>AD</t>
  </si>
  <si>
    <t>W</t>
  </si>
  <si>
    <t>X</t>
  </si>
  <si>
    <t>Q</t>
  </si>
  <si>
    <t>H</t>
  </si>
  <si>
    <t>I</t>
  </si>
  <si>
    <t>U</t>
  </si>
  <si>
    <t>T</t>
  </si>
  <si>
    <t>J</t>
  </si>
  <si>
    <t>K</t>
  </si>
  <si>
    <t>S</t>
  </si>
  <si>
    <t>2010 GHG</t>
  </si>
  <si>
    <t>2010 PM NOx</t>
  </si>
  <si>
    <t>2010 PM2.5</t>
  </si>
  <si>
    <t>2010 NOx</t>
  </si>
  <si>
    <t>2010 VOC</t>
  </si>
  <si>
    <t>2020 GHG</t>
  </si>
  <si>
    <t>2020 PM NOx</t>
  </si>
  <si>
    <t>2020 PM2.5</t>
  </si>
  <si>
    <t>2020 NOx</t>
  </si>
  <si>
    <t>2020 VOC</t>
  </si>
  <si>
    <t>Proposed Vehicle Emissions Factors</t>
  </si>
  <si>
    <t>model year</t>
  </si>
  <si>
    <t>average onroad fleet</t>
  </si>
  <si>
    <t>From HNTB study using ARC travel model, latent demand induced found to be 92%</t>
  </si>
  <si>
    <t>Alternative Latent Demand Factor (% of GP volume reduction compared to additional managed lane capacity)</t>
  </si>
  <si>
    <t>Alpha/Beta calculated using ARC VDF curves</t>
  </si>
  <si>
    <t>Alternative Alpha Values</t>
  </si>
  <si>
    <t>Alternative Beta Values</t>
  </si>
  <si>
    <t>Transit Bus Life Cycle Cost and Year 2007 Emissions Estimation  http://www.fta.dot.gov/documents/WVU_FTA_LCC_Final_Report_07-23-2007.pdf</t>
  </si>
  <si>
    <t>Total Daily Reductions in GHG emissions (short tons/day)</t>
  </si>
  <si>
    <t>Total Daily Reductions in PM NOx Emissions (short tons/day)</t>
  </si>
  <si>
    <t>Total Daily Reductions in PM Emissions (short tons/day)</t>
  </si>
  <si>
    <t>Total Daily Reductions in NOx Emissions (short tons/day)</t>
  </si>
  <si>
    <t>Total Daily Reductions in VOC Emissions (short tons/day)</t>
  </si>
  <si>
    <t>Average length of one-way bicycle trips (miles)</t>
  </si>
  <si>
    <t>Average length of one-way pedestrian trips (miles)</t>
  </si>
  <si>
    <t>Average length of one-way transit trips (miles)</t>
  </si>
  <si>
    <t xml:space="preserve">Annual One-Way Auto Trips Reduced (bike/commute) </t>
  </si>
  <si>
    <t>Annual One-Way Auto Trips Reduced - Total</t>
  </si>
  <si>
    <t>Daily One-Way Auto Trips Reduced - Total</t>
  </si>
  <si>
    <t xml:space="preserve">Annual One-Way Auto Trips Reduced (walk/commute) </t>
  </si>
  <si>
    <t xml:space="preserve">Annual One-Way Auto Trips Reduced (bike) </t>
  </si>
  <si>
    <t xml:space="preserve">Annual One-Way Auto Trips Reduced (walk) </t>
  </si>
  <si>
    <t xml:space="preserve">Annual One-Way Auto Trips Reduced (transit) </t>
  </si>
  <si>
    <t>Does this project have a pedestrian component?</t>
  </si>
  <si>
    <t>DELAY/VMT IMPACT</t>
  </si>
  <si>
    <t>Reduction in Annual Vehicle Hours of Delay for Other Vehicles on TSP Corridor</t>
  </si>
  <si>
    <t>Addition of Annual Vehicle Hour of Delay on Cross Streets (Street 2)</t>
  </si>
  <si>
    <t>Net Change in Annual Vehicle Hours of Delay for All Vehicles</t>
  </si>
  <si>
    <t>Eliminated Annual Auto VMT due to Improved Transit Service</t>
  </si>
  <si>
    <t>NON-TRANSIT VEHICLE CHANGE IN EMISSIONS (DUE TO ADDED STREET 2 DELAY + REDUCED STREET 1 DELAY)</t>
  </si>
  <si>
    <t>&lt;--Determine this from LOS from PM peak period model network</t>
  </si>
  <si>
    <t>&lt;--in other tab or documentation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</si>
</sst>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0.0%"/>
    <numFmt numFmtId="167" formatCode="0.0000"/>
    <numFmt numFmtId="168" formatCode="_(* #,##0.000_);_(* \(#,##0.000\);_(* &quot;-&quot;??_);_(@_)"/>
    <numFmt numFmtId="169" formatCode="_(* #,##0.0_);_(* \(#,##0.0\);_(* &quot;-&quot;??_);_(@_)"/>
    <numFmt numFmtId="170" formatCode="#,##0.0"/>
    <numFmt numFmtId="171" formatCode="#,##0.0_);\(#,##0.0\)"/>
    <numFmt numFmtId="172" formatCode="0.0000000000%"/>
    <numFmt numFmtId="173" formatCode="0.000000000000000%"/>
    <numFmt numFmtId="174" formatCode="[$-409]mmmm\ d\,\ yyyy;@"/>
    <numFmt numFmtId="175" formatCode="0_);\(0\)"/>
    <numFmt numFmtId="176" formatCode="#,##0.000_);\(#,##0.000\)"/>
    <numFmt numFmtId="177" formatCode="#,##0.00000_);\(#,##0.00000\)"/>
    <numFmt numFmtId="178" formatCode="0.000"/>
    <numFmt numFmtId="179" formatCode="0.00000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3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000000"/>
      <name val="Book Antiqua"/>
      <family val="1"/>
    </font>
    <font>
      <sz val="10"/>
      <color rgb="FF000000"/>
      <name val="Book Antiqua"/>
      <family val="1"/>
    </font>
    <font>
      <sz val="11"/>
      <color theme="1"/>
      <name val="Book Antiqua"/>
      <family val="1"/>
    </font>
    <font>
      <sz val="11"/>
      <color rgb="FF00B050"/>
      <name val="Calibri"/>
      <family val="2"/>
      <scheme val="minor"/>
    </font>
    <font>
      <b/>
      <sz val="10"/>
      <name val="Calibri"/>
      <family val="2"/>
      <scheme val="minor"/>
    </font>
    <font>
      <sz val="11"/>
      <color indexed="9"/>
      <name val="Calibri"/>
      <family val="2"/>
    </font>
    <font>
      <sz val="11"/>
      <color indexed="60"/>
      <name val="Calibri"/>
      <family val="2"/>
    </font>
    <font>
      <sz val="10"/>
      <name val="Times New Roman"/>
      <family val="1"/>
    </font>
    <font>
      <b/>
      <i/>
      <sz val="1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color indexed="26"/>
      <name val="Arial"/>
      <family val="2"/>
    </font>
    <font>
      <u/>
      <sz val="10"/>
      <color indexed="12"/>
      <name val="Arial"/>
      <family val="2"/>
    </font>
    <font>
      <sz val="7.7"/>
      <color rgb="FF000000"/>
      <name val="Arial"/>
      <family val="2"/>
    </font>
    <font>
      <sz val="8"/>
      <name val="Helv"/>
    </font>
    <font>
      <b/>
      <sz val="12"/>
      <name val="Helv"/>
    </font>
    <font>
      <sz val="22"/>
      <color theme="0"/>
      <name val="Calibri"/>
      <family val="2"/>
      <scheme val="minor"/>
    </font>
    <font>
      <sz val="36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u/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18"/>
      <name val="Arial"/>
      <family val="2"/>
    </font>
    <font>
      <sz val="14"/>
      <name val="Arial"/>
      <family val="2"/>
    </font>
    <font>
      <u/>
      <sz val="11"/>
      <color theme="10"/>
      <name val="Calibri"/>
      <family val="2"/>
    </font>
    <font>
      <vertAlign val="superscript"/>
      <sz val="12"/>
      <name val="Helv"/>
    </font>
    <font>
      <sz val="10"/>
      <color theme="0"/>
      <name val="Arial"/>
      <family val="2"/>
    </font>
    <font>
      <b/>
      <sz val="2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name val="Calibri"/>
      <family val="2"/>
      <scheme val="minor"/>
    </font>
    <font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9"/>
      </patternFill>
    </fill>
    <fill>
      <patternFill patternType="solid">
        <fgColor indexed="43"/>
      </patternFill>
    </fill>
    <fill>
      <patternFill patternType="solid">
        <fgColor indexed="1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8232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FFFF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double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double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double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double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89">
    <xf numFmtId="0" fontId="0" fillId="0" borderId="0"/>
    <xf numFmtId="43" fontId="7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9" fontId="7" fillId="0" borderId="0" applyFont="0" applyFill="0" applyBorder="0" applyAlignment="0" applyProtection="0"/>
    <xf numFmtId="0" fontId="14" fillId="9" borderId="2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7" fillId="11" borderId="23" applyNumberFormat="0" applyFont="0" applyAlignment="0" applyProtection="0"/>
    <xf numFmtId="0" fontId="13" fillId="0" borderId="0">
      <alignment horizontal="left" vertical="center" wrapText="1"/>
    </xf>
    <xf numFmtId="0" fontId="20" fillId="0" borderId="0">
      <alignment vertical="top"/>
    </xf>
    <xf numFmtId="44" fontId="13" fillId="0" borderId="0" applyFont="0" applyFill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3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11" borderId="23" applyNumberFormat="0" applyFont="0" applyAlignment="0" applyProtection="0"/>
    <xf numFmtId="9" fontId="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0">
      <alignment horizontal="left"/>
    </xf>
    <xf numFmtId="0" fontId="41" fillId="0" borderId="0">
      <alignment horizontal="left"/>
    </xf>
    <xf numFmtId="0" fontId="1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54" applyNumberFormat="0" applyFill="0" applyAlignment="0" applyProtection="0"/>
    <xf numFmtId="0" fontId="48" fillId="0" borderId="55" applyNumberFormat="0" applyFill="0" applyAlignment="0" applyProtection="0"/>
    <xf numFmtId="0" fontId="49" fillId="0" borderId="56" applyNumberFormat="0" applyFill="0" applyAlignment="0" applyProtection="0"/>
    <xf numFmtId="0" fontId="49" fillId="0" borderId="0" applyNumberFormat="0" applyFill="0" applyBorder="0" applyAlignment="0" applyProtection="0"/>
    <xf numFmtId="0" fontId="50" fillId="21" borderId="0" applyNumberFormat="0" applyBorder="0" applyAlignment="0" applyProtection="0"/>
    <xf numFmtId="0" fontId="51" fillId="22" borderId="0" applyNumberFormat="0" applyBorder="0" applyAlignment="0" applyProtection="0"/>
    <xf numFmtId="0" fontId="52" fillId="23" borderId="0" applyNumberFormat="0" applyBorder="0" applyAlignment="0" applyProtection="0"/>
    <xf numFmtId="0" fontId="53" fillId="24" borderId="57" applyNumberFormat="0" applyAlignment="0" applyProtection="0"/>
    <xf numFmtId="0" fontId="54" fillId="24" borderId="2" applyNumberFormat="0" applyAlignment="0" applyProtection="0"/>
    <xf numFmtId="0" fontId="55" fillId="0" borderId="58" applyNumberFormat="0" applyFill="0" applyAlignment="0" applyProtection="0"/>
    <xf numFmtId="0" fontId="56" fillId="25" borderId="59" applyNumberFormat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" fillId="0" borderId="60" applyNumberFormat="0" applyFill="0" applyAlignment="0" applyProtection="0"/>
    <xf numFmtId="0" fontId="9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9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9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9" fillId="47" borderId="0" applyNumberFormat="0" applyBorder="0" applyAlignment="0" applyProtection="0"/>
    <xf numFmtId="0" fontId="6" fillId="0" borderId="0"/>
    <xf numFmtId="0" fontId="7" fillId="0" borderId="0"/>
    <xf numFmtId="43" fontId="7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9" fontId="7" fillId="0" borderId="0" applyFont="0" applyFill="0" applyBorder="0" applyAlignment="0" applyProtection="0"/>
    <xf numFmtId="0" fontId="14" fillId="9" borderId="2" applyNumberFormat="0" applyAlignment="0" applyProtection="0"/>
    <xf numFmtId="0" fontId="7" fillId="11" borderId="23" applyNumberFormat="0" applyFont="0" applyAlignment="0" applyProtection="0"/>
    <xf numFmtId="0" fontId="47" fillId="0" borderId="54" applyNumberFormat="0" applyFill="0" applyAlignment="0" applyProtection="0"/>
    <xf numFmtId="0" fontId="48" fillId="0" borderId="55" applyNumberFormat="0" applyFill="0" applyAlignment="0" applyProtection="0"/>
    <xf numFmtId="0" fontId="49" fillId="0" borderId="56" applyNumberFormat="0" applyFill="0" applyAlignment="0" applyProtection="0"/>
    <xf numFmtId="0" fontId="49" fillId="0" borderId="0" applyNumberFormat="0" applyFill="0" applyBorder="0" applyAlignment="0" applyProtection="0"/>
    <xf numFmtId="0" fontId="50" fillId="21" borderId="0" applyNumberFormat="0" applyBorder="0" applyAlignment="0" applyProtection="0"/>
    <xf numFmtId="0" fontId="51" fillId="22" borderId="0" applyNumberFormat="0" applyBorder="0" applyAlignment="0" applyProtection="0"/>
    <xf numFmtId="0" fontId="52" fillId="23" borderId="0" applyNumberFormat="0" applyBorder="0" applyAlignment="0" applyProtection="0"/>
    <xf numFmtId="0" fontId="53" fillId="24" borderId="57" applyNumberFormat="0" applyAlignment="0" applyProtection="0"/>
    <xf numFmtId="0" fontId="54" fillId="24" borderId="2" applyNumberFormat="0" applyAlignment="0" applyProtection="0"/>
    <xf numFmtId="0" fontId="55" fillId="0" borderId="58" applyNumberFormat="0" applyFill="0" applyAlignment="0" applyProtection="0"/>
    <xf numFmtId="0" fontId="56" fillId="25" borderId="59" applyNumberFormat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" fillId="0" borderId="60" applyNumberFormat="0" applyFill="0" applyAlignment="0" applyProtection="0"/>
    <xf numFmtId="0" fontId="9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9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9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9" fillId="47" borderId="0" applyNumberFormat="0" applyBorder="0" applyAlignment="0" applyProtection="0"/>
    <xf numFmtId="0" fontId="5" fillId="0" borderId="0"/>
    <xf numFmtId="0" fontId="13" fillId="0" borderId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0" fillId="0" borderId="0" applyNumberFormat="0" applyFill="0" applyBorder="0" applyProtection="0">
      <alignment horizontal="left"/>
    </xf>
    <xf numFmtId="0" fontId="13" fillId="0" borderId="67" applyNumberFormat="0" applyFont="0" applyFill="0" applyAlignment="0" applyProtection="0"/>
    <xf numFmtId="0" fontId="60" fillId="0" borderId="0" applyNumberFormat="0" applyFill="0" applyBorder="0" applyProtection="0">
      <alignment horizontal="left"/>
    </xf>
    <xf numFmtId="0" fontId="13" fillId="0" borderId="67" applyNumberFormat="0" applyFont="0" applyFill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174" fontId="40" fillId="0" borderId="0">
      <alignment horizontal="left"/>
    </xf>
    <xf numFmtId="174" fontId="64" fillId="0" borderId="0">
      <alignment horizontal="right"/>
    </xf>
    <xf numFmtId="174" fontId="41" fillId="0" borderId="0">
      <alignment horizontal="left"/>
    </xf>
    <xf numFmtId="0" fontId="65" fillId="2" borderId="0" applyNumberFormat="0" applyBorder="0" applyAlignment="0" applyProtection="0"/>
    <xf numFmtId="0" fontId="65" fillId="3" borderId="0" applyNumberFormat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4" fillId="0" borderId="0"/>
    <xf numFmtId="0" fontId="7" fillId="0" borderId="0"/>
    <xf numFmtId="43" fontId="7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9" fontId="7" fillId="0" borderId="0" applyFont="0" applyFill="0" applyBorder="0" applyAlignment="0" applyProtection="0"/>
    <xf numFmtId="0" fontId="14" fillId="9" borderId="2" applyNumberFormat="0" applyAlignment="0" applyProtection="0"/>
    <xf numFmtId="0" fontId="7" fillId="11" borderId="23" applyNumberFormat="0" applyFont="0" applyAlignment="0" applyProtection="0"/>
    <xf numFmtId="0" fontId="47" fillId="0" borderId="54" applyNumberFormat="0" applyFill="0" applyAlignment="0" applyProtection="0"/>
    <xf numFmtId="0" fontId="48" fillId="0" borderId="55" applyNumberFormat="0" applyFill="0" applyAlignment="0" applyProtection="0"/>
    <xf numFmtId="0" fontId="49" fillId="0" borderId="56" applyNumberFormat="0" applyFill="0" applyAlignment="0" applyProtection="0"/>
    <xf numFmtId="0" fontId="49" fillId="0" borderId="0" applyNumberFormat="0" applyFill="0" applyBorder="0" applyAlignment="0" applyProtection="0"/>
    <xf numFmtId="0" fontId="50" fillId="21" borderId="0" applyNumberFormat="0" applyBorder="0" applyAlignment="0" applyProtection="0"/>
    <xf numFmtId="0" fontId="51" fillId="22" borderId="0" applyNumberFormat="0" applyBorder="0" applyAlignment="0" applyProtection="0"/>
    <xf numFmtId="0" fontId="52" fillId="23" borderId="0" applyNumberFormat="0" applyBorder="0" applyAlignment="0" applyProtection="0"/>
    <xf numFmtId="0" fontId="53" fillId="24" borderId="57" applyNumberFormat="0" applyAlignment="0" applyProtection="0"/>
    <xf numFmtId="0" fontId="54" fillId="24" borderId="2" applyNumberFormat="0" applyAlignment="0" applyProtection="0"/>
    <xf numFmtId="0" fontId="55" fillId="0" borderId="58" applyNumberFormat="0" applyFill="0" applyAlignment="0" applyProtection="0"/>
    <xf numFmtId="0" fontId="56" fillId="25" borderId="59" applyNumberFormat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" fillId="0" borderId="60" applyNumberFormat="0" applyFill="0" applyAlignment="0" applyProtection="0"/>
    <xf numFmtId="0" fontId="9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9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9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9" fillId="47" borderId="0" applyNumberFormat="0" applyBorder="0" applyAlignment="0" applyProtection="0"/>
    <xf numFmtId="0" fontId="4" fillId="0" borderId="0"/>
    <xf numFmtId="0" fontId="4" fillId="0" borderId="0"/>
    <xf numFmtId="0" fontId="3" fillId="0" borderId="0"/>
    <xf numFmtId="0" fontId="7" fillId="0" borderId="0"/>
    <xf numFmtId="43" fontId="7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9" fontId="7" fillId="0" borderId="0" applyFont="0" applyFill="0" applyBorder="0" applyAlignment="0" applyProtection="0"/>
    <xf numFmtId="0" fontId="14" fillId="9" borderId="2" applyNumberFormat="0" applyAlignment="0" applyProtection="0"/>
    <xf numFmtId="0" fontId="7" fillId="11" borderId="23" applyNumberFormat="0" applyFont="0" applyAlignment="0" applyProtection="0"/>
    <xf numFmtId="0" fontId="47" fillId="0" borderId="54" applyNumberFormat="0" applyFill="0" applyAlignment="0" applyProtection="0"/>
    <xf numFmtId="0" fontId="48" fillId="0" borderId="55" applyNumberFormat="0" applyFill="0" applyAlignment="0" applyProtection="0"/>
    <xf numFmtId="0" fontId="49" fillId="0" borderId="56" applyNumberFormat="0" applyFill="0" applyAlignment="0" applyProtection="0"/>
    <xf numFmtId="0" fontId="49" fillId="0" borderId="0" applyNumberFormat="0" applyFill="0" applyBorder="0" applyAlignment="0" applyProtection="0"/>
    <xf numFmtId="0" fontId="50" fillId="21" borderId="0" applyNumberFormat="0" applyBorder="0" applyAlignment="0" applyProtection="0"/>
    <xf numFmtId="0" fontId="51" fillId="22" borderId="0" applyNumberFormat="0" applyBorder="0" applyAlignment="0" applyProtection="0"/>
    <xf numFmtId="0" fontId="52" fillId="23" borderId="0" applyNumberFormat="0" applyBorder="0" applyAlignment="0" applyProtection="0"/>
    <xf numFmtId="0" fontId="53" fillId="24" borderId="57" applyNumberFormat="0" applyAlignment="0" applyProtection="0"/>
    <xf numFmtId="0" fontId="54" fillId="24" borderId="2" applyNumberFormat="0" applyAlignment="0" applyProtection="0"/>
    <xf numFmtId="0" fontId="55" fillId="0" borderId="58" applyNumberFormat="0" applyFill="0" applyAlignment="0" applyProtection="0"/>
    <xf numFmtId="0" fontId="56" fillId="25" borderId="59" applyNumberFormat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" fillId="0" borderId="60" applyNumberFormat="0" applyFill="0" applyAlignment="0" applyProtection="0"/>
    <xf numFmtId="0" fontId="9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9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9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9" fillId="4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7" fillId="0" borderId="0"/>
    <xf numFmtId="43" fontId="7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9" fontId="7" fillId="0" borderId="0" applyFont="0" applyFill="0" applyBorder="0" applyAlignment="0" applyProtection="0"/>
    <xf numFmtId="0" fontId="14" fillId="9" borderId="2" applyNumberFormat="0" applyAlignment="0" applyProtection="0"/>
    <xf numFmtId="0" fontId="7" fillId="11" borderId="23" applyNumberFormat="0" applyFont="0" applyAlignment="0" applyProtection="0"/>
    <xf numFmtId="0" fontId="47" fillId="0" borderId="54" applyNumberFormat="0" applyFill="0" applyAlignment="0" applyProtection="0"/>
    <xf numFmtId="0" fontId="48" fillId="0" borderId="55" applyNumberFormat="0" applyFill="0" applyAlignment="0" applyProtection="0"/>
    <xf numFmtId="0" fontId="49" fillId="0" borderId="56" applyNumberFormat="0" applyFill="0" applyAlignment="0" applyProtection="0"/>
    <xf numFmtId="0" fontId="49" fillId="0" borderId="0" applyNumberFormat="0" applyFill="0" applyBorder="0" applyAlignment="0" applyProtection="0"/>
    <xf numFmtId="0" fontId="50" fillId="21" borderId="0" applyNumberFormat="0" applyBorder="0" applyAlignment="0" applyProtection="0"/>
    <xf numFmtId="0" fontId="51" fillId="22" borderId="0" applyNumberFormat="0" applyBorder="0" applyAlignment="0" applyProtection="0"/>
    <xf numFmtId="0" fontId="52" fillId="23" borderId="0" applyNumberFormat="0" applyBorder="0" applyAlignment="0" applyProtection="0"/>
    <xf numFmtId="0" fontId="53" fillId="24" borderId="57" applyNumberFormat="0" applyAlignment="0" applyProtection="0"/>
    <xf numFmtId="0" fontId="54" fillId="24" borderId="2" applyNumberFormat="0" applyAlignment="0" applyProtection="0"/>
    <xf numFmtId="0" fontId="55" fillId="0" borderId="58" applyNumberFormat="0" applyFill="0" applyAlignment="0" applyProtection="0"/>
    <xf numFmtId="0" fontId="56" fillId="25" borderId="59" applyNumberFormat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" fillId="0" borderId="60" applyNumberFormat="0" applyFill="0" applyAlignment="0" applyProtection="0"/>
    <xf numFmtId="0" fontId="9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9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9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9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19"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0" xfId="0" applyFill="1"/>
    <xf numFmtId="0" fontId="8" fillId="0" borderId="0" xfId="0" applyFont="1"/>
    <xf numFmtId="0" fontId="7" fillId="0" borderId="0" xfId="0" applyFont="1"/>
    <xf numFmtId="0" fontId="11" fillId="0" borderId="0" xfId="0" applyFont="1"/>
    <xf numFmtId="0" fontId="0" fillId="0" borderId="0" xfId="0" applyFont="1"/>
    <xf numFmtId="0" fontId="0" fillId="4" borderId="0" xfId="0" applyFont="1" applyFill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17" fillId="4" borderId="0" xfId="0" applyFont="1" applyFill="1" applyBorder="1" applyAlignment="1">
      <alignment horizontal="left"/>
    </xf>
    <xf numFmtId="0" fontId="0" fillId="0" borderId="0" xfId="0" applyFont="1" applyAlignment="1">
      <alignment horizontal="right"/>
    </xf>
    <xf numFmtId="168" fontId="16" fillId="6" borderId="1" xfId="1" applyNumberFormat="1" applyFont="1" applyFill="1" applyBorder="1" applyAlignment="1">
      <alignment horizontal="right"/>
    </xf>
    <xf numFmtId="165" fontId="16" fillId="6" borderId="1" xfId="4" applyNumberFormat="1" applyFont="1" applyFill="1" applyBorder="1" applyAlignment="1">
      <alignment horizontal="right"/>
    </xf>
    <xf numFmtId="169" fontId="16" fillId="6" borderId="1" xfId="1" applyNumberFormat="1" applyFont="1" applyFill="1" applyBorder="1" applyAlignment="1">
      <alignment horizontal="right"/>
    </xf>
    <xf numFmtId="0" fontId="16" fillId="0" borderId="0" xfId="0" applyFont="1" applyFill="1" applyBorder="1" applyAlignment="1">
      <alignment horizontal="right"/>
    </xf>
    <xf numFmtId="3" fontId="16" fillId="7" borderId="1" xfId="1" applyNumberFormat="1" applyFont="1" applyFill="1" applyBorder="1"/>
    <xf numFmtId="164" fontId="0" fillId="7" borderId="1" xfId="1" applyNumberFormat="1" applyFont="1" applyFill="1" applyBorder="1"/>
    <xf numFmtId="0" fontId="0" fillId="0" borderId="0" xfId="0" applyAlignment="1">
      <alignment horizontal="right"/>
    </xf>
    <xf numFmtId="0" fontId="0" fillId="6" borderId="1" xfId="0" applyFont="1" applyFill="1" applyBorder="1"/>
    <xf numFmtId="39" fontId="0" fillId="7" borderId="1" xfId="0" applyNumberFormat="1" applyFont="1" applyFill="1" applyBorder="1"/>
    <xf numFmtId="164" fontId="0" fillId="7" borderId="1" xfId="0" applyNumberFormat="1" applyFont="1" applyFill="1" applyBorder="1"/>
    <xf numFmtId="164" fontId="16" fillId="6" borderId="1" xfId="1" applyNumberFormat="1" applyFont="1" applyFill="1" applyBorder="1" applyAlignment="1">
      <alignment horizontal="right"/>
    </xf>
    <xf numFmtId="164" fontId="16" fillId="7" borderId="1" xfId="0" applyNumberFormat="1" applyFont="1" applyFill="1" applyBorder="1"/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164" fontId="16" fillId="7" borderId="1" xfId="1" applyNumberFormat="1" applyFont="1" applyFill="1" applyBorder="1"/>
    <xf numFmtId="0" fontId="0" fillId="0" borderId="0" xfId="0" applyFont="1" applyBorder="1"/>
    <xf numFmtId="0" fontId="16" fillId="0" borderId="0" xfId="0" applyFont="1" applyFill="1" applyBorder="1"/>
    <xf numFmtId="3" fontId="17" fillId="7" borderId="1" xfId="1" applyNumberFormat="1" applyFont="1" applyFill="1" applyBorder="1"/>
    <xf numFmtId="0" fontId="12" fillId="0" borderId="0" xfId="0" applyFont="1" applyFill="1" applyBorder="1" applyAlignment="1">
      <alignment horizontal="center" wrapText="1"/>
    </xf>
    <xf numFmtId="164" fontId="0" fillId="0" borderId="0" xfId="1" applyNumberFormat="1" applyFont="1" applyFill="1" applyBorder="1"/>
    <xf numFmtId="3" fontId="11" fillId="10" borderId="1" xfId="0" applyNumberFormat="1" applyFont="1" applyFill="1" applyBorder="1" applyAlignment="1">
      <alignment horizontal="center"/>
    </xf>
    <xf numFmtId="3" fontId="11" fillId="5" borderId="1" xfId="0" applyNumberFormat="1" applyFont="1" applyFill="1" applyBorder="1" applyAlignment="1">
      <alignment horizontal="center"/>
    </xf>
    <xf numFmtId="0" fontId="0" fillId="0" borderId="0" xfId="0" applyAlignment="1">
      <alignment vertical="center" wrapText="1"/>
    </xf>
    <xf numFmtId="3" fontId="17" fillId="5" borderId="1" xfId="0" applyNumberFormat="1" applyFont="1" applyFill="1" applyBorder="1" applyAlignment="1">
      <alignment horizontal="center"/>
    </xf>
    <xf numFmtId="9" fontId="17" fillId="5" borderId="1" xfId="4" applyFont="1" applyFill="1" applyBorder="1" applyAlignment="1">
      <alignment horizontal="center"/>
    </xf>
    <xf numFmtId="0" fontId="17" fillId="10" borderId="1" xfId="0" applyFont="1" applyFill="1" applyBorder="1" applyAlignment="1">
      <alignment horizontal="center"/>
    </xf>
    <xf numFmtId="0" fontId="19" fillId="0" borderId="0" xfId="0" applyFont="1"/>
    <xf numFmtId="169" fontId="16" fillId="7" borderId="1" xfId="1" applyNumberFormat="1" applyFont="1" applyFill="1" applyBorder="1"/>
    <xf numFmtId="9" fontId="16" fillId="6" borderId="1" xfId="4" applyFont="1" applyFill="1" applyBorder="1" applyAlignment="1">
      <alignment horizontal="right"/>
    </xf>
    <xf numFmtId="164" fontId="12" fillId="7" borderId="20" xfId="0" applyNumberFormat="1" applyFont="1" applyFill="1" applyBorder="1"/>
    <xf numFmtId="0" fontId="0" fillId="0" borderId="0" xfId="0" applyAlignment="1">
      <alignment horizontal="left"/>
    </xf>
    <xf numFmtId="0" fontId="0" fillId="0" borderId="1" xfId="0" applyBorder="1"/>
    <xf numFmtId="0" fontId="0" fillId="0" borderId="0" xfId="0" applyFill="1" applyBorder="1" applyAlignment="1">
      <alignment vertical="center"/>
    </xf>
    <xf numFmtId="164" fontId="12" fillId="7" borderId="20" xfId="1" applyNumberFormat="1" applyFont="1" applyFill="1" applyBorder="1"/>
    <xf numFmtId="0" fontId="21" fillId="0" borderId="0" xfId="0" applyFont="1"/>
    <xf numFmtId="0" fontId="0" fillId="0" borderId="0" xfId="0" applyAlignment="1">
      <alignment wrapText="1"/>
    </xf>
    <xf numFmtId="3" fontId="17" fillId="10" borderId="1" xfId="0" applyNumberFormat="1" applyFont="1" applyFill="1" applyBorder="1" applyAlignment="1">
      <alignment horizontal="center"/>
    </xf>
    <xf numFmtId="170" fontId="17" fillId="10" borderId="1" xfId="0" applyNumberFormat="1" applyFont="1" applyFill="1" applyBorder="1" applyAlignment="1">
      <alignment horizontal="center"/>
    </xf>
    <xf numFmtId="1" fontId="17" fillId="5" borderId="1" xfId="0" applyNumberFormat="1" applyFont="1" applyFill="1" applyBorder="1" applyAlignment="1">
      <alignment horizontal="center"/>
    </xf>
    <xf numFmtId="0" fontId="21" fillId="0" borderId="0" xfId="0" applyFont="1" applyFill="1"/>
    <xf numFmtId="165" fontId="17" fillId="5" borderId="1" xfId="0" applyNumberFormat="1" applyFont="1" applyFill="1" applyBorder="1" applyAlignment="1">
      <alignment horizontal="center"/>
    </xf>
    <xf numFmtId="167" fontId="17" fillId="5" borderId="1" xfId="0" applyNumberFormat="1" applyFont="1" applyFill="1" applyBorder="1" applyAlignment="1">
      <alignment horizontal="center"/>
    </xf>
    <xf numFmtId="0" fontId="11" fillId="4" borderId="0" xfId="0" applyFont="1" applyFill="1" applyAlignment="1">
      <alignment horizontal="center"/>
    </xf>
    <xf numFmtId="0" fontId="22" fillId="0" borderId="0" xfId="0" applyFont="1"/>
    <xf numFmtId="0" fontId="21" fillId="0" borderId="0" xfId="0" applyFont="1" applyAlignment="1">
      <alignment horizontal="center"/>
    </xf>
    <xf numFmtId="164" fontId="16" fillId="0" borderId="0" xfId="1" applyNumberFormat="1" applyFont="1" applyFill="1" applyBorder="1"/>
    <xf numFmtId="164" fontId="17" fillId="7" borderId="20" xfId="1" applyNumberFormat="1" applyFont="1" applyFill="1" applyBorder="1"/>
    <xf numFmtId="164" fontId="17" fillId="7" borderId="20" xfId="0" applyNumberFormat="1" applyFont="1" applyFill="1" applyBorder="1"/>
    <xf numFmtId="166" fontId="16" fillId="6" borderId="1" xfId="4" applyNumberFormat="1" applyFont="1" applyFill="1" applyBorder="1" applyAlignment="1">
      <alignment horizontal="right"/>
    </xf>
    <xf numFmtId="0" fontId="17" fillId="0" borderId="0" xfId="0" applyFont="1" applyFill="1" applyBorder="1"/>
    <xf numFmtId="164" fontId="12" fillId="0" borderId="0" xfId="0" applyNumberFormat="1" applyFont="1" applyFill="1" applyBorder="1"/>
    <xf numFmtId="164" fontId="12" fillId="12" borderId="20" xfId="0" applyNumberFormat="1" applyFont="1" applyFill="1" applyBorder="1"/>
    <xf numFmtId="0" fontId="22" fillId="0" borderId="4" xfId="0" applyFont="1" applyFill="1" applyBorder="1" applyAlignment="1">
      <alignment vertical="center"/>
    </xf>
    <xf numFmtId="0" fontId="11" fillId="0" borderId="0" xfId="0" applyFont="1" applyFill="1"/>
    <xf numFmtId="0" fontId="17" fillId="5" borderId="1" xfId="4" applyNumberFormat="1" applyFont="1" applyFill="1" applyBorder="1" applyAlignment="1">
      <alignment horizontal="center" vertical="center" wrapText="1"/>
    </xf>
    <xf numFmtId="0" fontId="17" fillId="5" borderId="1" xfId="4" applyNumberFormat="1" applyFont="1" applyFill="1" applyBorder="1" applyAlignment="1">
      <alignment horizontal="center"/>
    </xf>
    <xf numFmtId="0" fontId="28" fillId="0" borderId="0" xfId="0" applyFont="1"/>
    <xf numFmtId="0" fontId="30" fillId="0" borderId="0" xfId="0" applyFont="1" applyFill="1" applyBorder="1" applyAlignment="1">
      <alignment horizontal="left" wrapText="1"/>
    </xf>
    <xf numFmtId="0" fontId="7" fillId="0" borderId="0" xfId="0" applyFont="1" applyAlignment="1">
      <alignment wrapText="1"/>
    </xf>
    <xf numFmtId="0" fontId="23" fillId="2" borderId="26" xfId="2" applyFont="1" applyBorder="1" applyAlignment="1">
      <alignment vertical="center" wrapText="1"/>
    </xf>
    <xf numFmtId="0" fontId="23" fillId="2" borderId="1" xfId="2" applyFont="1" applyBorder="1" applyAlignment="1">
      <alignment vertical="center" wrapText="1"/>
    </xf>
    <xf numFmtId="0" fontId="23" fillId="2" borderId="1" xfId="2" applyFont="1" applyBorder="1" applyAlignment="1">
      <alignment horizontal="center" vertical="center" wrapText="1"/>
    </xf>
    <xf numFmtId="9" fontId="17" fillId="5" borderId="1" xfId="4" applyNumberFormat="1" applyFont="1" applyFill="1" applyBorder="1" applyAlignment="1">
      <alignment horizontal="center"/>
    </xf>
    <xf numFmtId="43" fontId="16" fillId="7" borderId="1" xfId="1" applyNumberFormat="1" applyFont="1" applyFill="1" applyBorder="1"/>
    <xf numFmtId="164" fontId="16" fillId="7" borderId="5" xfId="1" applyNumberFormat="1" applyFont="1" applyFill="1" applyBorder="1"/>
    <xf numFmtId="0" fontId="7" fillId="0" borderId="0" xfId="0" applyFont="1" applyFill="1" applyBorder="1" applyAlignment="1">
      <alignment wrapText="1"/>
    </xf>
    <xf numFmtId="0" fontId="22" fillId="0" borderId="0" xfId="0" applyFont="1" applyFill="1" applyBorder="1" applyAlignment="1">
      <alignment vertical="center"/>
    </xf>
    <xf numFmtId="0" fontId="11" fillId="8" borderId="0" xfId="0" applyFont="1" applyFill="1"/>
    <xf numFmtId="164" fontId="17" fillId="13" borderId="20" xfId="1" applyNumberFormat="1" applyFont="1" applyFill="1" applyBorder="1"/>
    <xf numFmtId="37" fontId="17" fillId="13" borderId="20" xfId="0" applyNumberFormat="1" applyFont="1" applyFill="1" applyBorder="1"/>
    <xf numFmtId="0" fontId="11" fillId="0" borderId="0" xfId="0" applyFont="1" applyFill="1" applyBorder="1"/>
    <xf numFmtId="3" fontId="11" fillId="10" borderId="5" xfId="0" applyNumberFormat="1" applyFont="1" applyFill="1" applyBorder="1" applyAlignment="1">
      <alignment horizontal="center"/>
    </xf>
    <xf numFmtId="3" fontId="17" fillId="5" borderId="21" xfId="0" applyNumberFormat="1" applyFont="1" applyFill="1" applyBorder="1" applyAlignment="1">
      <alignment horizontal="center"/>
    </xf>
    <xf numFmtId="165" fontId="16" fillId="6" borderId="26" xfId="4" applyNumberFormat="1" applyFont="1" applyFill="1" applyBorder="1" applyAlignment="1">
      <alignment horizontal="right"/>
    </xf>
    <xf numFmtId="0" fontId="13" fillId="0" borderId="0" xfId="7"/>
    <xf numFmtId="0" fontId="13" fillId="0" borderId="0" xfId="7" applyAlignment="1">
      <alignment horizontal="center"/>
    </xf>
    <xf numFmtId="0" fontId="34" fillId="0" borderId="0" xfId="7" applyFont="1"/>
    <xf numFmtId="0" fontId="35" fillId="0" borderId="0" xfId="7" applyFont="1"/>
    <xf numFmtId="0" fontId="37" fillId="16" borderId="32" xfId="7" applyFont="1" applyFill="1" applyBorder="1" applyAlignment="1">
      <alignment horizontal="center" vertical="top" wrapText="1"/>
    </xf>
    <xf numFmtId="0" fontId="37" fillId="16" borderId="33" xfId="7" applyFont="1" applyFill="1" applyBorder="1" applyAlignment="1">
      <alignment horizontal="center" vertical="top" wrapText="1"/>
    </xf>
    <xf numFmtId="0" fontId="37" fillId="16" borderId="34" xfId="7" applyFont="1" applyFill="1" applyBorder="1" applyAlignment="1">
      <alignment horizontal="center" vertical="top" wrapText="1"/>
    </xf>
    <xf numFmtId="0" fontId="13" fillId="0" borderId="35" xfId="7" applyFont="1" applyBorder="1" applyAlignment="1">
      <alignment vertical="top" wrapText="1"/>
    </xf>
    <xf numFmtId="9" fontId="13" fillId="0" borderId="13" xfId="7" applyNumberFormat="1" applyFont="1" applyBorder="1" applyAlignment="1">
      <alignment horizontal="right" vertical="top" wrapText="1"/>
    </xf>
    <xf numFmtId="9" fontId="13" fillId="0" borderId="36" xfId="7" applyNumberFormat="1" applyFont="1" applyBorder="1" applyAlignment="1">
      <alignment horizontal="right" vertical="top" wrapText="1"/>
    </xf>
    <xf numFmtId="0" fontId="13" fillId="0" borderId="37" xfId="7" applyFont="1" applyBorder="1" applyAlignment="1">
      <alignment vertical="top" wrapText="1"/>
    </xf>
    <xf numFmtId="9" fontId="13" fillId="0" borderId="15" xfId="7" applyNumberFormat="1" applyFont="1" applyBorder="1" applyAlignment="1">
      <alignment horizontal="right" vertical="top" wrapText="1"/>
    </xf>
    <xf numFmtId="9" fontId="13" fillId="0" borderId="38" xfId="7" applyNumberFormat="1" applyFont="1" applyBorder="1" applyAlignment="1">
      <alignment horizontal="right" vertical="top" wrapText="1"/>
    </xf>
    <xf numFmtId="0" fontId="13" fillId="0" borderId="39" xfId="7" applyFont="1" applyBorder="1" applyAlignment="1">
      <alignment vertical="top" wrapText="1"/>
    </xf>
    <xf numFmtId="9" fontId="13" fillId="0" borderId="40" xfId="7" applyNumberFormat="1" applyFont="1" applyBorder="1" applyAlignment="1">
      <alignment horizontal="right" vertical="top" wrapText="1"/>
    </xf>
    <xf numFmtId="9" fontId="13" fillId="0" borderId="41" xfId="7" applyNumberFormat="1" applyFont="1" applyBorder="1" applyAlignment="1">
      <alignment horizontal="right" vertical="top" wrapText="1"/>
    </xf>
    <xf numFmtId="0" fontId="38" fillId="0" borderId="0" xfId="16" applyAlignment="1" applyProtection="1"/>
    <xf numFmtId="0" fontId="12" fillId="0" borderId="32" xfId="7" applyFont="1" applyBorder="1" applyAlignment="1">
      <alignment horizontal="center" vertical="top" wrapText="1"/>
    </xf>
    <xf numFmtId="0" fontId="12" fillId="0" borderId="33" xfId="7" applyFont="1" applyBorder="1" applyAlignment="1">
      <alignment horizontal="center" vertical="top" wrapText="1"/>
    </xf>
    <xf numFmtId="0" fontId="12" fillId="0" borderId="34" xfId="7" applyFont="1" applyBorder="1" applyAlignment="1">
      <alignment horizontal="center" vertical="top" wrapText="1"/>
    </xf>
    <xf numFmtId="10" fontId="13" fillId="17" borderId="13" xfId="7" applyNumberFormat="1" applyFont="1" applyFill="1" applyBorder="1" applyAlignment="1">
      <alignment horizontal="right" vertical="top" wrapText="1"/>
    </xf>
    <xf numFmtId="10" fontId="13" fillId="17" borderId="36" xfId="7" applyNumberFormat="1" applyFont="1" applyFill="1" applyBorder="1" applyAlignment="1">
      <alignment horizontal="right" vertical="top" wrapText="1"/>
    </xf>
    <xf numFmtId="0" fontId="13" fillId="0" borderId="42" xfId="7" applyFont="1" applyBorder="1" applyAlignment="1">
      <alignment vertical="top" wrapText="1"/>
    </xf>
    <xf numFmtId="10" fontId="13" fillId="17" borderId="43" xfId="7" applyNumberFormat="1" applyFont="1" applyFill="1" applyBorder="1" applyAlignment="1">
      <alignment horizontal="right" vertical="top" wrapText="1"/>
    </xf>
    <xf numFmtId="10" fontId="13" fillId="17" borderId="44" xfId="7" applyNumberFormat="1" applyFont="1" applyFill="1" applyBorder="1" applyAlignment="1">
      <alignment horizontal="right" vertical="top" wrapText="1"/>
    </xf>
    <xf numFmtId="0" fontId="13" fillId="0" borderId="0" xfId="7" applyFont="1" applyFill="1" applyBorder="1" applyAlignment="1">
      <alignment vertical="top" wrapText="1"/>
    </xf>
    <xf numFmtId="0" fontId="12" fillId="0" borderId="0" xfId="7" applyFont="1" applyFill="1" applyBorder="1" applyAlignment="1">
      <alignment horizontal="center" vertical="top" wrapText="1"/>
    </xf>
    <xf numFmtId="7" fontId="13" fillId="17" borderId="1" xfId="12" applyNumberFormat="1" applyFont="1" applyFill="1" applyBorder="1" applyAlignment="1">
      <alignment horizontal="right" vertical="top" wrapText="1"/>
    </xf>
    <xf numFmtId="166" fontId="0" fillId="0" borderId="1" xfId="8" applyNumberFormat="1" applyFont="1" applyBorder="1"/>
    <xf numFmtId="0" fontId="16" fillId="0" borderId="0" xfId="7" applyFont="1" applyBorder="1"/>
    <xf numFmtId="0" fontId="36" fillId="0" borderId="0" xfId="7" applyFont="1" applyBorder="1"/>
    <xf numFmtId="0" fontId="16" fillId="0" borderId="0" xfId="7" applyFont="1" applyFill="1" applyBorder="1"/>
    <xf numFmtId="44" fontId="7" fillId="0" borderId="0" xfId="12" applyFont="1" applyFill="1" applyBorder="1" applyAlignment="1"/>
    <xf numFmtId="0" fontId="17" fillId="0" borderId="0" xfId="7" applyFont="1" applyBorder="1"/>
    <xf numFmtId="0" fontId="16" fillId="0" borderId="0" xfId="7" applyFont="1" applyBorder="1" applyAlignment="1">
      <alignment wrapText="1"/>
    </xf>
    <xf numFmtId="0" fontId="16" fillId="0" borderId="0" xfId="7" applyFont="1" applyBorder="1" applyAlignment="1">
      <alignment horizontal="center"/>
    </xf>
    <xf numFmtId="0" fontId="11" fillId="4" borderId="0" xfId="0" applyFont="1" applyFill="1" applyBorder="1" applyAlignment="1">
      <alignment horizontal="center"/>
    </xf>
    <xf numFmtId="0" fontId="11" fillId="4" borderId="0" xfId="0" applyFont="1" applyFill="1"/>
    <xf numFmtId="39" fontId="0" fillId="7" borderId="1" xfId="0" applyNumberFormat="1" applyFill="1" applyBorder="1"/>
    <xf numFmtId="171" fontId="0" fillId="7" borderId="1" xfId="0" applyNumberFormat="1" applyFont="1" applyFill="1" applyBorder="1"/>
    <xf numFmtId="4" fontId="16" fillId="7" borderId="1" xfId="1" applyNumberFormat="1" applyFont="1" applyFill="1" applyBorder="1"/>
    <xf numFmtId="3" fontId="11" fillId="5" borderId="21" xfId="0" applyNumberFormat="1" applyFont="1" applyFill="1" applyBorder="1" applyAlignment="1">
      <alignment horizontal="center"/>
    </xf>
    <xf numFmtId="1" fontId="17" fillId="10" borderId="1" xfId="0" applyNumberFormat="1" applyFont="1" applyFill="1" applyBorder="1" applyAlignment="1">
      <alignment horizontal="center"/>
    </xf>
    <xf numFmtId="0" fontId="17" fillId="10" borderId="1" xfId="0" applyNumberFormat="1" applyFont="1" applyFill="1" applyBorder="1" applyAlignment="1">
      <alignment horizontal="center"/>
    </xf>
    <xf numFmtId="9" fontId="17" fillId="10" borderId="1" xfId="4" applyFont="1" applyFill="1" applyBorder="1" applyAlignment="1">
      <alignment horizontal="center"/>
    </xf>
    <xf numFmtId="4" fontId="0" fillId="7" borderId="1" xfId="0" applyNumberFormat="1" applyFont="1" applyFill="1" applyBorder="1"/>
    <xf numFmtId="39" fontId="16" fillId="7" borderId="1" xfId="0" applyNumberFormat="1" applyFont="1" applyFill="1" applyBorder="1"/>
    <xf numFmtId="169" fontId="16" fillId="7" borderId="1" xfId="0" applyNumberFormat="1" applyFont="1" applyFill="1" applyBorder="1"/>
    <xf numFmtId="164" fontId="16" fillId="0" borderId="0" xfId="0" applyNumberFormat="1" applyFont="1" applyFill="1" applyBorder="1"/>
    <xf numFmtId="0" fontId="7" fillId="0" borderId="0" xfId="21"/>
    <xf numFmtId="0" fontId="7" fillId="0" borderId="0" xfId="21" applyFill="1"/>
    <xf numFmtId="0" fontId="24" fillId="0" borderId="0" xfId="21" applyFont="1"/>
    <xf numFmtId="0" fontId="21" fillId="0" borderId="0" xfId="21" applyFont="1"/>
    <xf numFmtId="0" fontId="7" fillId="0" borderId="0" xfId="21" applyBorder="1"/>
    <xf numFmtId="0" fontId="7" fillId="0" borderId="0" xfId="21" applyFont="1"/>
    <xf numFmtId="0" fontId="7" fillId="0" borderId="0" xfId="21" applyFont="1" applyFill="1" applyBorder="1"/>
    <xf numFmtId="0" fontId="7" fillId="0" borderId="0" xfId="21" applyFill="1" applyBorder="1"/>
    <xf numFmtId="0" fontId="7" fillId="6" borderId="1" xfId="21" applyFont="1" applyFill="1" applyBorder="1"/>
    <xf numFmtId="0" fontId="7" fillId="0" borderId="0" xfId="21" applyFont="1" applyFill="1"/>
    <xf numFmtId="0" fontId="7" fillId="0" borderId="0" xfId="21" applyFont="1" applyFill="1" applyAlignment="1">
      <alignment horizontal="center" vertical="center"/>
    </xf>
    <xf numFmtId="169" fontId="16" fillId="7" borderId="1" xfId="20" applyNumberFormat="1" applyFont="1" applyFill="1" applyBorder="1"/>
    <xf numFmtId="164" fontId="16" fillId="7" borderId="1" xfId="20" applyNumberFormat="1" applyFont="1" applyFill="1" applyBorder="1"/>
    <xf numFmtId="0" fontId="7" fillId="0" borderId="0" xfId="21" applyFont="1" applyAlignment="1">
      <alignment wrapText="1"/>
    </xf>
    <xf numFmtId="0" fontId="16" fillId="0" borderId="0" xfId="21" applyFont="1" applyFill="1" applyBorder="1"/>
    <xf numFmtId="164" fontId="16" fillId="0" borderId="0" xfId="20" applyNumberFormat="1" applyFont="1" applyFill="1" applyBorder="1"/>
    <xf numFmtId="164" fontId="17" fillId="13" borderId="20" xfId="20" applyNumberFormat="1" applyFont="1" applyFill="1" applyBorder="1"/>
    <xf numFmtId="0" fontId="21" fillId="11" borderId="26" xfId="22" applyFont="1" applyBorder="1" applyAlignment="1">
      <alignment vertical="center" wrapText="1"/>
    </xf>
    <xf numFmtId="0" fontId="21" fillId="11" borderId="1" xfId="22" applyFont="1" applyBorder="1" applyAlignment="1">
      <alignment vertical="center" wrapText="1"/>
    </xf>
    <xf numFmtId="0" fontId="21" fillId="11" borderId="1" xfId="22" applyFont="1" applyBorder="1" applyAlignment="1">
      <alignment horizontal="center" vertical="center" wrapText="1"/>
    </xf>
    <xf numFmtId="0" fontId="21" fillId="11" borderId="1" xfId="22" applyFont="1" applyBorder="1" applyAlignment="1">
      <alignment horizontal="center" vertical="center"/>
    </xf>
    <xf numFmtId="49" fontId="21" fillId="11" borderId="1" xfId="22" applyNumberFormat="1" applyFont="1" applyBorder="1" applyAlignment="1">
      <alignment horizontal="center" vertical="center"/>
    </xf>
    <xf numFmtId="0" fontId="26" fillId="0" borderId="27" xfId="21" applyFont="1" applyBorder="1" applyAlignment="1">
      <alignment horizontal="center" wrapText="1"/>
    </xf>
    <xf numFmtId="0" fontId="26" fillId="0" borderId="28" xfId="21" applyFont="1" applyBorder="1" applyAlignment="1">
      <alignment horizontal="center" wrapText="1"/>
    </xf>
    <xf numFmtId="0" fontId="27" fillId="0" borderId="17" xfId="21" applyFont="1" applyBorder="1" applyAlignment="1">
      <alignment horizontal="left" wrapText="1"/>
    </xf>
    <xf numFmtId="0" fontId="27" fillId="0" borderId="13" xfId="21" applyFont="1" applyBorder="1" applyAlignment="1">
      <alignment horizontal="center" wrapText="1"/>
    </xf>
    <xf numFmtId="0" fontId="28" fillId="0" borderId="0" xfId="21" applyFont="1"/>
    <xf numFmtId="3" fontId="0" fillId="0" borderId="0" xfId="0" applyNumberFormat="1"/>
    <xf numFmtId="0" fontId="11" fillId="0" borderId="0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11" fillId="4" borderId="0" xfId="21" applyFont="1" applyFill="1" applyAlignment="1">
      <alignment horizontal="center"/>
    </xf>
    <xf numFmtId="0" fontId="16" fillId="0" borderId="0" xfId="0" applyFont="1"/>
    <xf numFmtId="0" fontId="16" fillId="0" borderId="1" xfId="0" applyFont="1" applyBorder="1"/>
    <xf numFmtId="165" fontId="13" fillId="6" borderId="1" xfId="4" applyNumberFormat="1" applyFont="1" applyFill="1" applyBorder="1" applyAlignment="1">
      <alignment horizontal="right"/>
    </xf>
    <xf numFmtId="1" fontId="13" fillId="6" borderId="1" xfId="4" applyNumberFormat="1" applyFont="1" applyFill="1" applyBorder="1" applyAlignment="1">
      <alignment horizontal="right"/>
    </xf>
    <xf numFmtId="164" fontId="13" fillId="7" borderId="5" xfId="0" applyNumberFormat="1" applyFont="1" applyFill="1" applyBorder="1"/>
    <xf numFmtId="166" fontId="11" fillId="5" borderId="1" xfId="0" applyNumberFormat="1" applyFont="1" applyFill="1" applyBorder="1" applyAlignment="1">
      <alignment horizontal="center"/>
    </xf>
    <xf numFmtId="2" fontId="13" fillId="6" borderId="1" xfId="4" applyNumberFormat="1" applyFont="1" applyFill="1" applyBorder="1" applyAlignment="1">
      <alignment horizontal="right"/>
    </xf>
    <xf numFmtId="165" fontId="16" fillId="0" borderId="0" xfId="4" applyNumberFormat="1" applyFont="1" applyFill="1" applyBorder="1" applyAlignment="1">
      <alignment horizontal="right"/>
    </xf>
    <xf numFmtId="169" fontId="13" fillId="7" borderId="1" xfId="1" applyNumberFormat="1" applyFont="1" applyFill="1" applyBorder="1"/>
    <xf numFmtId="43" fontId="13" fillId="7" borderId="1" xfId="1" applyNumberFormat="1" applyFont="1" applyFill="1" applyBorder="1"/>
    <xf numFmtId="164" fontId="13" fillId="0" borderId="0" xfId="0" applyNumberFormat="1" applyFont="1" applyFill="1" applyBorder="1"/>
    <xf numFmtId="0" fontId="11" fillId="4" borderId="0" xfId="0" applyFont="1" applyFill="1" applyAlignment="1">
      <alignment horizontal="center"/>
    </xf>
    <xf numFmtId="0" fontId="0" fillId="19" borderId="1" xfId="0" applyFill="1" applyBorder="1"/>
    <xf numFmtId="0" fontId="0" fillId="20" borderId="1" xfId="0" applyFill="1" applyBorder="1"/>
    <xf numFmtId="0" fontId="8" fillId="0" borderId="46" xfId="0" applyFont="1" applyFill="1" applyBorder="1"/>
    <xf numFmtId="0" fontId="0" fillId="0" borderId="1" xfId="0" applyFill="1" applyBorder="1"/>
    <xf numFmtId="0" fontId="8" fillId="0" borderId="0" xfId="0" applyFont="1" applyFill="1"/>
    <xf numFmtId="0" fontId="45" fillId="0" borderId="0" xfId="27" applyFont="1"/>
    <xf numFmtId="0" fontId="16" fillId="0" borderId="0" xfId="7" applyFont="1" applyFill="1" applyBorder="1" applyAlignment="1">
      <alignment vertical="center" wrapText="1"/>
    </xf>
    <xf numFmtId="0" fontId="22" fillId="0" borderId="0" xfId="0" applyFont="1" applyAlignment="1">
      <alignment horizontal="left"/>
    </xf>
    <xf numFmtId="0" fontId="22" fillId="0" borderId="0" xfId="0" applyFont="1" applyFill="1" applyBorder="1"/>
    <xf numFmtId="0" fontId="22" fillId="0" borderId="0" xfId="0" applyFont="1" applyBorder="1"/>
    <xf numFmtId="0" fontId="16" fillId="0" borderId="0" xfId="0" applyFont="1" applyFill="1"/>
    <xf numFmtId="0" fontId="16" fillId="0" borderId="0" xfId="0" applyFont="1" applyAlignment="1">
      <alignment wrapText="1"/>
    </xf>
    <xf numFmtId="0" fontId="11" fillId="4" borderId="0" xfId="0" applyFont="1" applyFill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170" fontId="11" fillId="10" borderId="1" xfId="0" applyNumberFormat="1" applyFont="1" applyFill="1" applyBorder="1" applyAlignment="1">
      <alignment horizontal="center"/>
    </xf>
    <xf numFmtId="0" fontId="16" fillId="0" borderId="0" xfId="21" applyFont="1"/>
    <xf numFmtId="0" fontId="16" fillId="0" borderId="0" xfId="21" applyFont="1" applyFill="1"/>
    <xf numFmtId="0" fontId="11" fillId="4" borderId="0" xfId="0" applyFont="1" applyFill="1" applyAlignment="1">
      <alignment horizontal="center"/>
    </xf>
    <xf numFmtId="37" fontId="17" fillId="0" borderId="0" xfId="0" applyNumberFormat="1" applyFont="1" applyFill="1" applyBorder="1"/>
    <xf numFmtId="0" fontId="16" fillId="0" borderId="0" xfId="27" applyFont="1"/>
    <xf numFmtId="37" fontId="17" fillId="13" borderId="20" xfId="0" applyNumberFormat="1" applyFont="1" applyFill="1" applyBorder="1" applyAlignment="1">
      <alignment horizontal="center"/>
    </xf>
    <xf numFmtId="0" fontId="11" fillId="4" borderId="0" xfId="0" applyFont="1" applyFill="1" applyAlignment="1">
      <alignment horizontal="center"/>
    </xf>
    <xf numFmtId="2" fontId="16" fillId="6" borderId="1" xfId="4" applyNumberFormat="1" applyFont="1" applyFill="1" applyBorder="1" applyAlignment="1">
      <alignment horizontal="right"/>
    </xf>
    <xf numFmtId="0" fontId="18" fillId="0" borderId="0" xfId="27"/>
    <xf numFmtId="43" fontId="16" fillId="6" borderId="1" xfId="1" applyNumberFormat="1" applyFont="1" applyFill="1" applyBorder="1" applyAlignment="1">
      <alignment horizontal="right"/>
    </xf>
    <xf numFmtId="0" fontId="8" fillId="0" borderId="0" xfId="0" applyFont="1" applyAlignment="1">
      <alignment vertical="center" wrapText="1"/>
    </xf>
    <xf numFmtId="0" fontId="0" fillId="10" borderId="1" xfId="0" applyFill="1" applyBorder="1"/>
    <xf numFmtId="0" fontId="0" fillId="10" borderId="0" xfId="0" applyFill="1"/>
    <xf numFmtId="2" fontId="16" fillId="6" borderId="26" xfId="4" applyNumberFormat="1" applyFont="1" applyFill="1" applyBorder="1" applyAlignment="1">
      <alignment horizontal="right"/>
    </xf>
    <xf numFmtId="43" fontId="0" fillId="7" borderId="1" xfId="0" applyNumberFormat="1" applyFont="1" applyFill="1" applyBorder="1"/>
    <xf numFmtId="164" fontId="7" fillId="0" borderId="0" xfId="0" applyNumberFormat="1" applyFont="1" applyFill="1" applyBorder="1" applyAlignment="1">
      <alignment wrapText="1"/>
    </xf>
    <xf numFmtId="0" fontId="0" fillId="0" borderId="1" xfId="0" applyNumberFormat="1" applyBorder="1"/>
    <xf numFmtId="43" fontId="16" fillId="0" borderId="0" xfId="0" applyNumberFormat="1" applyFont="1"/>
    <xf numFmtId="168" fontId="16" fillId="7" borderId="1" xfId="0" applyNumberFormat="1" applyFont="1" applyFill="1" applyBorder="1"/>
    <xf numFmtId="0" fontId="0" fillId="10" borderId="1" xfId="0" applyNumberFormat="1" applyFill="1" applyBorder="1"/>
    <xf numFmtId="0" fontId="8" fillId="0" borderId="3" xfId="0" applyFont="1" applyFill="1" applyBorder="1"/>
    <xf numFmtId="4" fontId="0" fillId="0" borderId="0" xfId="0" applyNumberFormat="1"/>
    <xf numFmtId="0" fontId="0" fillId="0" borderId="0" xfId="0" applyNumberFormat="1"/>
    <xf numFmtId="172" fontId="0" fillId="0" borderId="0" xfId="0" applyNumberFormat="1"/>
    <xf numFmtId="173" fontId="0" fillId="0" borderId="0" xfId="0" applyNumberFormat="1"/>
    <xf numFmtId="0" fontId="16" fillId="0" borderId="1" xfId="0" applyNumberFormat="1" applyFont="1" applyBorder="1"/>
    <xf numFmtId="0" fontId="16" fillId="10" borderId="1" xfId="0" applyNumberFormat="1" applyFont="1" applyFill="1" applyBorder="1"/>
    <xf numFmtId="0" fontId="0" fillId="0" borderId="0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/>
    <xf numFmtId="0" fontId="16" fillId="0" borderId="0" xfId="0" applyFont="1" applyFill="1" applyBorder="1" applyAlignment="1">
      <alignment horizontal="left" indent="1"/>
    </xf>
    <xf numFmtId="0" fontId="11" fillId="48" borderId="61" xfId="0" applyFont="1" applyFill="1" applyBorder="1"/>
    <xf numFmtId="0" fontId="17" fillId="0" borderId="0" xfId="0" applyFont="1" applyFill="1" applyBorder="1" applyAlignment="1">
      <alignment horizontal="left" indent="1"/>
    </xf>
    <xf numFmtId="0" fontId="11" fillId="48" borderId="1" xfId="0" applyFont="1" applyFill="1" applyBorder="1"/>
    <xf numFmtId="4" fontId="0" fillId="0" borderId="0" xfId="0" applyNumberFormat="1" applyFill="1"/>
    <xf numFmtId="0" fontId="0" fillId="0" borderId="0" xfId="0" applyFill="1" applyAlignment="1">
      <alignment wrapText="1"/>
    </xf>
    <xf numFmtId="4" fontId="16" fillId="6" borderId="1" xfId="4" applyNumberFormat="1" applyFont="1" applyFill="1" applyBorder="1" applyAlignment="1">
      <alignment horizontal="right"/>
    </xf>
    <xf numFmtId="9" fontId="13" fillId="6" borderId="1" xfId="4" applyNumberFormat="1" applyFont="1" applyFill="1" applyBorder="1" applyAlignment="1">
      <alignment horizontal="right"/>
    </xf>
    <xf numFmtId="37" fontId="16" fillId="7" borderId="1" xfId="1" applyNumberFormat="1" applyFont="1" applyFill="1" applyBorder="1"/>
    <xf numFmtId="2" fontId="0" fillId="6" borderId="1" xfId="0" applyNumberFormat="1" applyFont="1" applyFill="1" applyBorder="1"/>
    <xf numFmtId="171" fontId="16" fillId="7" borderId="1" xfId="1" applyNumberFormat="1" applyFont="1" applyFill="1" applyBorder="1"/>
    <xf numFmtId="39" fontId="16" fillId="7" borderId="1" xfId="1" applyNumberFormat="1" applyFont="1" applyFill="1" applyBorder="1"/>
    <xf numFmtId="0" fontId="0" fillId="0" borderId="0" xfId="0" applyFont="1" applyFill="1" applyBorder="1" applyAlignment="1">
      <alignment horizontal="right"/>
    </xf>
    <xf numFmtId="43" fontId="0" fillId="0" borderId="0" xfId="0" applyNumberFormat="1"/>
    <xf numFmtId="9" fontId="16" fillId="7" borderId="1" xfId="1" applyNumberFormat="1" applyFont="1" applyFill="1" applyBorder="1"/>
    <xf numFmtId="9" fontId="11" fillId="5" borderId="1" xfId="0" applyNumberFormat="1" applyFont="1" applyFill="1" applyBorder="1" applyAlignment="1">
      <alignment horizontal="center"/>
    </xf>
    <xf numFmtId="1" fontId="0" fillId="6" borderId="1" xfId="0" applyNumberFormat="1" applyFont="1" applyFill="1" applyBorder="1"/>
    <xf numFmtId="9" fontId="0" fillId="0" borderId="0" xfId="0" applyNumberFormat="1" applyFont="1" applyFill="1" applyBorder="1" applyAlignment="1">
      <alignment horizontal="right"/>
    </xf>
    <xf numFmtId="0" fontId="0" fillId="0" borderId="0" xfId="21" applyFont="1" applyFill="1" applyBorder="1" applyAlignment="1">
      <alignment wrapText="1"/>
    </xf>
    <xf numFmtId="0" fontId="27" fillId="0" borderId="13" xfId="21" applyFont="1" applyBorder="1" applyAlignment="1">
      <alignment horizontal="left" wrapText="1"/>
    </xf>
    <xf numFmtId="0" fontId="0" fillId="0" borderId="0" xfId="0" applyFont="1" applyAlignment="1">
      <alignment wrapText="1"/>
    </xf>
    <xf numFmtId="1" fontId="16" fillId="7" borderId="1" xfId="20" applyNumberFormat="1" applyFont="1" applyFill="1" applyBorder="1"/>
    <xf numFmtId="3" fontId="7" fillId="0" borderId="0" xfId="21" applyNumberFormat="1"/>
    <xf numFmtId="1" fontId="7" fillId="0" borderId="0" xfId="21" applyNumberFormat="1" applyFont="1" applyAlignment="1">
      <alignment wrapText="1"/>
    </xf>
    <xf numFmtId="2" fontId="16" fillId="7" borderId="1" xfId="20" applyNumberFormat="1" applyFont="1" applyFill="1" applyBorder="1"/>
    <xf numFmtId="164" fontId="13" fillId="7" borderId="1" xfId="0" applyNumberFormat="1" applyFont="1" applyFill="1" applyBorder="1"/>
    <xf numFmtId="0" fontId="16" fillId="0" borderId="0" xfId="17" applyFont="1" applyFill="1" applyBorder="1" applyAlignment="1">
      <alignment horizontal="left" indent="1"/>
    </xf>
    <xf numFmtId="2" fontId="16" fillId="0" borderId="0" xfId="4" applyNumberFormat="1" applyFont="1" applyFill="1" applyBorder="1" applyAlignment="1">
      <alignment horizontal="right"/>
    </xf>
    <xf numFmtId="9" fontId="0" fillId="0" borderId="0" xfId="0" applyNumberFormat="1" applyFont="1" applyFill="1" applyBorder="1" applyAlignment="1">
      <alignment horizontal="left"/>
    </xf>
    <xf numFmtId="37" fontId="16" fillId="7" borderId="1" xfId="20" applyNumberFormat="1" applyFont="1" applyFill="1" applyBorder="1"/>
    <xf numFmtId="164" fontId="16" fillId="7" borderId="26" xfId="20" applyNumberFormat="1" applyFont="1" applyFill="1" applyBorder="1" applyAlignment="1">
      <alignment vertical="center"/>
    </xf>
    <xf numFmtId="0" fontId="8" fillId="0" borderId="0" xfId="7" quotePrefix="1" applyFont="1" applyBorder="1"/>
    <xf numFmtId="3" fontId="0" fillId="0" borderId="0" xfId="21" applyNumberFormat="1" applyFont="1"/>
    <xf numFmtId="164" fontId="16" fillId="7" borderId="31" xfId="20" applyNumberFormat="1" applyFont="1" applyFill="1" applyBorder="1" applyAlignment="1">
      <alignment vertical="center"/>
    </xf>
    <xf numFmtId="43" fontId="7" fillId="0" borderId="0" xfId="21" applyNumberFormat="1"/>
    <xf numFmtId="164" fontId="17" fillId="7" borderId="20" xfId="0" applyNumberFormat="1" applyFont="1" applyFill="1" applyBorder="1"/>
    <xf numFmtId="0" fontId="7" fillId="0" borderId="0" xfId="0" applyFont="1" applyFill="1" applyBorder="1" applyAlignment="1">
      <alignment wrapText="1"/>
    </xf>
    <xf numFmtId="0" fontId="18" fillId="0" borderId="0" xfId="27"/>
    <xf numFmtId="43" fontId="16" fillId="0" borderId="0" xfId="7" applyNumberFormat="1" applyFont="1" applyBorder="1"/>
    <xf numFmtId="0" fontId="0" fillId="0" borderId="0" xfId="21" applyFont="1"/>
    <xf numFmtId="0" fontId="8" fillId="0" borderId="0" xfId="7" applyFont="1" applyBorder="1"/>
    <xf numFmtId="3" fontId="7" fillId="0" borderId="0" xfId="21" applyNumberFormat="1"/>
    <xf numFmtId="0" fontId="0" fillId="0" borderId="0" xfId="0"/>
    <xf numFmtId="0" fontId="0" fillId="0" borderId="0" xfId="0" applyFill="1"/>
    <xf numFmtId="3" fontId="11" fillId="5" borderId="1" xfId="0" applyNumberFormat="1" applyFont="1" applyFill="1" applyBorder="1" applyAlignment="1">
      <alignment horizontal="center"/>
    </xf>
    <xf numFmtId="3" fontId="11" fillId="5" borderId="21" xfId="0" applyNumberFormat="1" applyFont="1" applyFill="1" applyBorder="1" applyAlignment="1">
      <alignment horizontal="center"/>
    </xf>
    <xf numFmtId="3" fontId="11" fillId="5" borderId="24" xfId="0" applyNumberFormat="1" applyFont="1" applyFill="1" applyBorder="1" applyAlignment="1">
      <alignment horizontal="center"/>
    </xf>
    <xf numFmtId="3" fontId="11" fillId="5" borderId="50" xfId="0" applyNumberFormat="1" applyFont="1" applyFill="1" applyBorder="1" applyAlignment="1">
      <alignment horizontal="center"/>
    </xf>
    <xf numFmtId="3" fontId="11" fillId="5" borderId="51" xfId="0" applyNumberFormat="1" applyFont="1" applyFill="1" applyBorder="1" applyAlignment="1">
      <alignment horizontal="center"/>
    </xf>
    <xf numFmtId="2" fontId="13" fillId="6" borderId="1" xfId="4" applyNumberFormat="1" applyFont="1" applyFill="1" applyBorder="1" applyAlignment="1">
      <alignment horizontal="right" vertical="center"/>
    </xf>
    <xf numFmtId="164" fontId="16" fillId="6" borderId="1" xfId="1" applyNumberFormat="1" applyFont="1" applyFill="1" applyBorder="1" applyAlignment="1">
      <alignment horizontal="right" vertical="center"/>
    </xf>
    <xf numFmtId="165" fontId="16" fillId="6" borderId="4" xfId="4" applyNumberFormat="1" applyFont="1" applyFill="1" applyBorder="1" applyAlignment="1"/>
    <xf numFmtId="165" fontId="16" fillId="6" borderId="3" xfId="4" applyNumberFormat="1" applyFont="1" applyFill="1" applyBorder="1" applyAlignment="1"/>
    <xf numFmtId="165" fontId="16" fillId="6" borderId="29" xfId="4" applyNumberFormat="1" applyFont="1" applyFill="1" applyBorder="1" applyAlignment="1"/>
    <xf numFmtId="165" fontId="16" fillId="6" borderId="48" xfId="4" applyNumberFormat="1" applyFont="1" applyFill="1" applyBorder="1" applyAlignment="1"/>
    <xf numFmtId="165" fontId="16" fillId="6" borderId="30" xfId="4" applyNumberFormat="1" applyFont="1" applyFill="1" applyBorder="1" applyAlignment="1"/>
    <xf numFmtId="165" fontId="16" fillId="6" borderId="49" xfId="4" applyNumberFormat="1" applyFont="1" applyFill="1" applyBorder="1" applyAlignment="1"/>
    <xf numFmtId="165" fontId="16" fillId="6" borderId="26" xfId="4" applyNumberFormat="1" applyFont="1" applyFill="1" applyBorder="1" applyAlignment="1"/>
    <xf numFmtId="165" fontId="16" fillId="6" borderId="31" xfId="4" applyNumberFormat="1" applyFont="1" applyFill="1" applyBorder="1" applyAlignment="1"/>
    <xf numFmtId="3" fontId="11" fillId="5" borderId="63" xfId="0" applyNumberFormat="1" applyFont="1" applyFill="1" applyBorder="1" applyAlignment="1">
      <alignment horizontal="center"/>
    </xf>
    <xf numFmtId="3" fontId="11" fillId="5" borderId="18" xfId="0" applyNumberFormat="1" applyFont="1" applyFill="1" applyBorder="1" applyAlignment="1">
      <alignment horizontal="center"/>
    </xf>
    <xf numFmtId="3" fontId="11" fillId="5" borderId="64" xfId="0" applyNumberFormat="1" applyFont="1" applyFill="1" applyBorder="1" applyAlignment="1">
      <alignment horizontal="center"/>
    </xf>
    <xf numFmtId="3" fontId="11" fillId="5" borderId="65" xfId="0" applyNumberFormat="1" applyFont="1" applyFill="1" applyBorder="1" applyAlignment="1">
      <alignment horizontal="center"/>
    </xf>
    <xf numFmtId="3" fontId="11" fillId="5" borderId="66" xfId="0" applyNumberFormat="1" applyFont="1" applyFill="1" applyBorder="1" applyAlignment="1">
      <alignment horizontal="center"/>
    </xf>
    <xf numFmtId="0" fontId="56" fillId="54" borderId="31" xfId="0" applyFont="1" applyFill="1" applyBorder="1" applyAlignment="1">
      <alignment horizontal="center" vertical="center" shrinkToFit="1"/>
    </xf>
    <xf numFmtId="0" fontId="16" fillId="51" borderId="0" xfId="0" quotePrefix="1" applyFont="1" applyFill="1" applyAlignment="1">
      <alignment horizontal="centerContinuous" vertical="center"/>
    </xf>
    <xf numFmtId="0" fontId="17" fillId="51" borderId="0" xfId="0" applyFont="1" applyFill="1" applyAlignment="1">
      <alignment horizontal="centerContinuous" vertical="center" shrinkToFit="1"/>
    </xf>
    <xf numFmtId="0" fontId="56" fillId="54" borderId="29" xfId="0" applyFont="1" applyFill="1" applyBorder="1" applyAlignment="1">
      <alignment horizontal="center" vertical="center"/>
    </xf>
    <xf numFmtId="0" fontId="56" fillId="54" borderId="47" xfId="0" applyFont="1" applyFill="1" applyBorder="1" applyAlignment="1">
      <alignment horizontal="center" vertical="center"/>
    </xf>
    <xf numFmtId="0" fontId="66" fillId="51" borderId="0" xfId="0" applyFont="1" applyFill="1" applyAlignment="1">
      <alignment horizontal="centerContinuous" vertical="center"/>
    </xf>
    <xf numFmtId="0" fontId="0" fillId="53" borderId="0" xfId="0" applyFill="1"/>
    <xf numFmtId="0" fontId="0" fillId="0" borderId="0" xfId="0"/>
    <xf numFmtId="0" fontId="0" fillId="0" borderId="0" xfId="0" applyFont="1"/>
    <xf numFmtId="164" fontId="0" fillId="0" borderId="0" xfId="0" applyNumberFormat="1" applyFont="1" applyFill="1" applyBorder="1" applyAlignment="1">
      <alignment horizontal="center"/>
    </xf>
    <xf numFmtId="0" fontId="11" fillId="0" borderId="12" xfId="0" applyFont="1" applyFill="1" applyBorder="1" applyAlignment="1">
      <alignment horizontal="left"/>
    </xf>
    <xf numFmtId="0" fontId="67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center" wrapText="1"/>
    </xf>
    <xf numFmtId="0" fontId="0" fillId="52" borderId="0" xfId="0" applyFill="1"/>
    <xf numFmtId="0" fontId="0" fillId="0" borderId="0" xfId="0"/>
    <xf numFmtId="0" fontId="0" fillId="0" borderId="0" xfId="0" applyFill="1"/>
    <xf numFmtId="0" fontId="0" fillId="0" borderId="0" xfId="0" applyFont="1" applyFill="1"/>
    <xf numFmtId="0" fontId="17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/>
    </xf>
    <xf numFmtId="0" fontId="0" fillId="50" borderId="3" xfId="0" applyFill="1" applyBorder="1" applyAlignment="1">
      <alignment vertical="center" shrinkToFit="1"/>
    </xf>
    <xf numFmtId="0" fontId="0" fillId="50" borderId="46" xfId="0" applyFill="1" applyBorder="1" applyAlignment="1">
      <alignment vertical="center"/>
    </xf>
    <xf numFmtId="0" fontId="0" fillId="0" borderId="0" xfId="0" applyAlignment="1">
      <alignment vertical="center"/>
    </xf>
    <xf numFmtId="164" fontId="11" fillId="0" borderId="0" xfId="0" applyNumberFormat="1" applyFont="1" applyFill="1" applyBorder="1" applyAlignment="1">
      <alignment horizontal="center"/>
    </xf>
    <xf numFmtId="164" fontId="11" fillId="0" borderId="12" xfId="0" applyNumberFormat="1" applyFont="1" applyFill="1" applyBorder="1" applyAlignment="1">
      <alignment horizontal="center"/>
    </xf>
    <xf numFmtId="0" fontId="0" fillId="52" borderId="0" xfId="0" applyFill="1" applyAlignment="1">
      <alignment vertical="center"/>
    </xf>
    <xf numFmtId="0" fontId="0" fillId="53" borderId="0" xfId="0" applyFill="1" applyAlignment="1">
      <alignment vertical="center"/>
    </xf>
    <xf numFmtId="175" fontId="11" fillId="0" borderId="0" xfId="0" applyNumberFormat="1" applyFont="1" applyFill="1" applyBorder="1" applyAlignment="1">
      <alignment horizontal="center" vertical="center"/>
    </xf>
    <xf numFmtId="175" fontId="17" fillId="0" borderId="0" xfId="0" applyNumberFormat="1" applyFont="1" applyFill="1" applyBorder="1" applyAlignment="1">
      <alignment horizontal="center" vertical="center" wrapText="1"/>
    </xf>
    <xf numFmtId="0" fontId="0" fillId="57" borderId="0" xfId="0" applyFont="1" applyFill="1" applyBorder="1" applyAlignment="1">
      <alignment vertical="center"/>
    </xf>
    <xf numFmtId="0" fontId="0" fillId="57" borderId="0" xfId="0" applyFont="1" applyFill="1" applyBorder="1"/>
    <xf numFmtId="0" fontId="0" fillId="57" borderId="0" xfId="0" applyFont="1" applyFill="1" applyBorder="1" applyAlignment="1">
      <alignment vertical="center" wrapText="1"/>
    </xf>
    <xf numFmtId="3" fontId="0" fillId="18" borderId="1" xfId="0" applyNumberFormat="1" applyFont="1" applyFill="1" applyBorder="1" applyAlignment="1">
      <alignment horizontal="center"/>
    </xf>
    <xf numFmtId="4" fontId="0" fillId="18" borderId="1" xfId="0" applyNumberFormat="1" applyFont="1" applyFill="1" applyBorder="1" applyAlignment="1">
      <alignment horizontal="center"/>
    </xf>
    <xf numFmtId="4" fontId="0" fillId="18" borderId="1" xfId="0" applyNumberFormat="1" applyFont="1" applyFill="1" applyBorder="1" applyAlignment="1">
      <alignment horizontal="center" vertical="center"/>
    </xf>
    <xf numFmtId="3" fontId="0" fillId="18" borderId="1" xfId="0" applyNumberFormat="1" applyFont="1" applyFill="1" applyBorder="1" applyAlignment="1">
      <alignment horizontal="center" vertical="center"/>
    </xf>
    <xf numFmtId="175" fontId="0" fillId="18" borderId="1" xfId="0" applyNumberFormat="1" applyFont="1" applyFill="1" applyBorder="1" applyAlignment="1">
      <alignment horizontal="center"/>
    </xf>
    <xf numFmtId="0" fontId="0" fillId="0" borderId="12" xfId="0" applyFill="1" applyBorder="1"/>
    <xf numFmtId="0" fontId="11" fillId="58" borderId="7" xfId="0" applyFont="1" applyFill="1" applyBorder="1" applyAlignment="1">
      <alignment horizontal="right"/>
    </xf>
    <xf numFmtId="0" fontId="11" fillId="58" borderId="6" xfId="0" applyFont="1" applyFill="1" applyBorder="1" applyAlignment="1">
      <alignment horizontal="right"/>
    </xf>
    <xf numFmtId="0" fontId="11" fillId="58" borderId="68" xfId="0" applyFont="1" applyFill="1" applyBorder="1" applyAlignment="1">
      <alignment horizontal="right"/>
    </xf>
    <xf numFmtId="0" fontId="0" fillId="53" borderId="0" xfId="0" applyFill="1" applyBorder="1"/>
    <xf numFmtId="0" fontId="11" fillId="57" borderId="10" xfId="0" applyFont="1" applyFill="1" applyBorder="1" applyAlignment="1">
      <alignment horizontal="right" indent="2"/>
    </xf>
    <xf numFmtId="0" fontId="11" fillId="57" borderId="15" xfId="0" applyFont="1" applyFill="1" applyBorder="1" applyAlignment="1">
      <alignment horizontal="right" indent="2"/>
    </xf>
    <xf numFmtId="0" fontId="11" fillId="57" borderId="13" xfId="0" applyFont="1" applyFill="1" applyBorder="1" applyAlignment="1">
      <alignment horizontal="right" indent="2"/>
    </xf>
    <xf numFmtId="0" fontId="0" fillId="0" borderId="15" xfId="0" applyBorder="1"/>
    <xf numFmtId="0" fontId="0" fillId="0" borderId="15" xfId="0" applyFill="1" applyBorder="1"/>
    <xf numFmtId="9" fontId="0" fillId="0" borderId="0" xfId="0" applyNumberFormat="1"/>
    <xf numFmtId="10" fontId="0" fillId="0" borderId="0" xfId="0" applyNumberFormat="1"/>
    <xf numFmtId="0" fontId="11" fillId="51" borderId="0" xfId="0" applyFont="1" applyFill="1"/>
    <xf numFmtId="0" fontId="11" fillId="57" borderId="0" xfId="0" applyFont="1" applyFill="1"/>
    <xf numFmtId="0" fontId="0" fillId="57" borderId="0" xfId="0" applyFont="1" applyFill="1"/>
    <xf numFmtId="0" fontId="0" fillId="57" borderId="0" xfId="21" applyFont="1" applyFill="1" applyBorder="1"/>
    <xf numFmtId="0" fontId="0" fillId="57" borderId="3" xfId="21" applyFont="1" applyFill="1" applyBorder="1"/>
    <xf numFmtId="0" fontId="7" fillId="57" borderId="0" xfId="21" applyFill="1" applyBorder="1"/>
    <xf numFmtId="0" fontId="11" fillId="57" borderId="0" xfId="0" applyFont="1" applyFill="1" applyAlignment="1">
      <alignment horizontal="center"/>
    </xf>
    <xf numFmtId="3" fontId="11" fillId="5" borderId="0" xfId="0" applyNumberFormat="1" applyFont="1" applyFill="1" applyBorder="1" applyAlignment="1">
      <alignment horizontal="center"/>
    </xf>
    <xf numFmtId="0" fontId="67" fillId="51" borderId="0" xfId="128" applyFont="1" applyFill="1" applyBorder="1" applyAlignment="1">
      <alignment horizontal="left" wrapText="1"/>
    </xf>
    <xf numFmtId="0" fontId="11" fillId="51" borderId="0" xfId="0" applyFont="1" applyFill="1" applyAlignment="1"/>
    <xf numFmtId="0" fontId="67" fillId="0" borderId="0" xfId="128" applyFont="1" applyFill="1" applyBorder="1" applyAlignment="1">
      <alignment horizontal="left" wrapText="1"/>
    </xf>
    <xf numFmtId="0" fontId="16" fillId="57" borderId="0" xfId="21" applyFont="1" applyFill="1"/>
    <xf numFmtId="0" fontId="16" fillId="57" borderId="0" xfId="0" applyFont="1" applyFill="1"/>
    <xf numFmtId="0" fontId="67" fillId="52" borderId="0" xfId="128" applyFont="1" applyFill="1" applyBorder="1" applyAlignment="1">
      <alignment wrapText="1"/>
    </xf>
    <xf numFmtId="0" fontId="67" fillId="0" borderId="0" xfId="128" applyFont="1" applyFill="1" applyBorder="1" applyAlignment="1">
      <alignment wrapText="1"/>
    </xf>
    <xf numFmtId="0" fontId="16" fillId="57" borderId="0" xfId="0" applyFont="1" applyFill="1" applyBorder="1" applyAlignment="1">
      <alignment horizontal="left" indent="1"/>
    </xf>
    <xf numFmtId="3" fontId="7" fillId="10" borderId="71" xfId="21" applyNumberFormat="1" applyFont="1" applyFill="1" applyBorder="1" applyAlignment="1">
      <alignment horizontal="center"/>
    </xf>
    <xf numFmtId="0" fontId="11" fillId="57" borderId="0" xfId="0" applyFont="1" applyFill="1" applyBorder="1"/>
    <xf numFmtId="1" fontId="16" fillId="5" borderId="70" xfId="23" applyNumberFormat="1" applyFont="1" applyFill="1" applyBorder="1" applyAlignment="1">
      <alignment horizontal="center"/>
    </xf>
    <xf numFmtId="9" fontId="16" fillId="5" borderId="69" xfId="23" applyNumberFormat="1" applyFont="1" applyFill="1" applyBorder="1" applyAlignment="1">
      <alignment horizontal="center"/>
    </xf>
    <xf numFmtId="0" fontId="16" fillId="57" borderId="0" xfId="21" applyFont="1" applyFill="1" applyBorder="1" applyAlignment="1">
      <alignment horizontal="left"/>
    </xf>
    <xf numFmtId="9" fontId="7" fillId="10" borderId="71" xfId="21" applyNumberFormat="1" applyFont="1" applyFill="1" applyBorder="1" applyAlignment="1">
      <alignment horizontal="center"/>
    </xf>
    <xf numFmtId="2" fontId="16" fillId="5" borderId="70" xfId="23" applyNumberFormat="1" applyFont="1" applyFill="1" applyBorder="1" applyAlignment="1">
      <alignment horizontal="center"/>
    </xf>
    <xf numFmtId="0" fontId="16" fillId="57" borderId="0" xfId="0" applyFont="1" applyFill="1" applyBorder="1"/>
    <xf numFmtId="3" fontId="7" fillId="10" borderId="69" xfId="21" applyNumberFormat="1" applyFont="1" applyFill="1" applyBorder="1" applyAlignment="1">
      <alignment horizontal="center"/>
    </xf>
    <xf numFmtId="9" fontId="7" fillId="10" borderId="70" xfId="21" applyNumberFormat="1" applyFont="1" applyFill="1" applyBorder="1" applyAlignment="1">
      <alignment horizontal="center"/>
    </xf>
    <xf numFmtId="0" fontId="16" fillId="57" borderId="0" xfId="17" applyFont="1" applyFill="1" applyBorder="1"/>
    <xf numFmtId="0" fontId="16" fillId="57" borderId="0" xfId="17" applyFont="1" applyFill="1" applyBorder="1" applyAlignment="1">
      <alignment horizontal="left" indent="1"/>
    </xf>
    <xf numFmtId="0" fontId="8" fillId="53" borderId="0" xfId="0" applyFont="1" applyFill="1"/>
    <xf numFmtId="0" fontId="67" fillId="52" borderId="0" xfId="128" applyFont="1" applyFill="1" applyBorder="1" applyAlignment="1">
      <alignment horizontal="left" wrapText="1"/>
    </xf>
    <xf numFmtId="0" fontId="67" fillId="55" borderId="0" xfId="0" applyFont="1" applyFill="1" applyBorder="1" applyAlignment="1">
      <alignment horizontal="left" wrapText="1"/>
    </xf>
    <xf numFmtId="0" fontId="0" fillId="0" borderId="9" xfId="0" applyBorder="1"/>
    <xf numFmtId="175" fontId="0" fillId="10" borderId="6" xfId="0" applyNumberFormat="1" applyFont="1" applyFill="1" applyBorder="1" applyAlignment="1">
      <alignment vertical="center"/>
    </xf>
    <xf numFmtId="164" fontId="0" fillId="10" borderId="6" xfId="0" applyNumberFormat="1" applyFont="1" applyFill="1" applyBorder="1" applyAlignment="1">
      <alignment vertical="center" wrapText="1"/>
    </xf>
    <xf numFmtId="37" fontId="0" fillId="10" borderId="6" xfId="0" applyNumberFormat="1" applyFont="1" applyFill="1" applyBorder="1" applyAlignment="1">
      <alignment vertical="center"/>
    </xf>
    <xf numFmtId="9" fontId="0" fillId="10" borderId="6" xfId="0" applyNumberFormat="1" applyFont="1" applyFill="1" applyBorder="1" applyAlignment="1">
      <alignment vertical="center"/>
    </xf>
    <xf numFmtId="3" fontId="0" fillId="58" borderId="6" xfId="0" applyNumberFormat="1" applyFont="1" applyFill="1" applyBorder="1" applyAlignment="1">
      <alignment vertical="center"/>
    </xf>
    <xf numFmtId="3" fontId="16" fillId="58" borderId="6" xfId="0" applyNumberFormat="1" applyFont="1" applyFill="1" applyBorder="1" applyAlignment="1">
      <alignment vertical="center"/>
    </xf>
    <xf numFmtId="175" fontId="0" fillId="10" borderId="1" xfId="0" applyNumberFormat="1" applyFont="1" applyFill="1" applyBorder="1" applyAlignment="1">
      <alignment horizontal="center" vertical="center"/>
    </xf>
    <xf numFmtId="164" fontId="0" fillId="10" borderId="1" xfId="0" applyNumberFormat="1" applyFont="1" applyFill="1" applyBorder="1" applyAlignment="1">
      <alignment horizontal="center" vertical="center" wrapText="1"/>
    </xf>
    <xf numFmtId="37" fontId="0" fillId="10" borderId="1" xfId="0" applyNumberFormat="1" applyFont="1" applyFill="1" applyBorder="1" applyAlignment="1">
      <alignment horizontal="center" vertical="center"/>
    </xf>
    <xf numFmtId="9" fontId="0" fillId="10" borderId="1" xfId="0" applyNumberFormat="1" applyFont="1" applyFill="1" applyBorder="1" applyAlignment="1">
      <alignment horizontal="center" vertical="center"/>
    </xf>
    <xf numFmtId="0" fontId="0" fillId="0" borderId="14" xfId="0" applyBorder="1"/>
    <xf numFmtId="0" fontId="16" fillId="57" borderId="0" xfId="0" applyFont="1" applyFill="1" applyBorder="1" applyAlignment="1">
      <alignment horizontal="left"/>
    </xf>
    <xf numFmtId="164" fontId="16" fillId="0" borderId="0" xfId="20" applyNumberFormat="1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center"/>
    </xf>
    <xf numFmtId="0" fontId="10" fillId="0" borderId="0" xfId="2" applyFont="1" applyFill="1" applyAlignment="1">
      <alignment horizontal="center" vertical="center"/>
    </xf>
    <xf numFmtId="9" fontId="11" fillId="0" borderId="0" xfId="4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165" fontId="16" fillId="0" borderId="0" xfId="4" applyNumberFormat="1" applyFont="1" applyFill="1" applyBorder="1" applyAlignment="1"/>
    <xf numFmtId="0" fontId="0" fillId="0" borderId="0" xfId="0" applyFont="1" applyFill="1" applyBorder="1" applyAlignment="1">
      <alignment horizontal="center"/>
    </xf>
    <xf numFmtId="164" fontId="16" fillId="0" borderId="0" xfId="20" applyNumberFormat="1" applyFont="1" applyFill="1" applyBorder="1" applyAlignment="1">
      <alignment vertical="center"/>
    </xf>
    <xf numFmtId="164" fontId="17" fillId="0" borderId="0" xfId="1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/>
    </xf>
    <xf numFmtId="0" fontId="10" fillId="52" borderId="0" xfId="2" applyFont="1" applyFill="1" applyAlignment="1">
      <alignment horizontal="center" vertical="center"/>
    </xf>
    <xf numFmtId="0" fontId="11" fillId="52" borderId="0" xfId="0" applyFont="1" applyFill="1" applyBorder="1" applyAlignment="1">
      <alignment horizontal="center"/>
    </xf>
    <xf numFmtId="9" fontId="11" fillId="52" borderId="0" xfId="4" applyFont="1" applyFill="1" applyBorder="1" applyAlignment="1">
      <alignment horizontal="center"/>
    </xf>
    <xf numFmtId="0" fontId="12" fillId="52" borderId="0" xfId="0" applyFont="1" applyFill="1" applyBorder="1" applyAlignment="1">
      <alignment horizontal="center" vertical="center" wrapText="1"/>
    </xf>
    <xf numFmtId="3" fontId="11" fillId="52" borderId="0" xfId="0" applyNumberFormat="1" applyFont="1" applyFill="1" applyBorder="1" applyAlignment="1">
      <alignment horizontal="center"/>
    </xf>
    <xf numFmtId="0" fontId="11" fillId="52" borderId="0" xfId="0" applyFont="1" applyFill="1"/>
    <xf numFmtId="0" fontId="11" fillId="52" borderId="0" xfId="0" applyFont="1" applyFill="1" applyAlignment="1">
      <alignment horizontal="center" vertical="center"/>
    </xf>
    <xf numFmtId="165" fontId="16" fillId="52" borderId="0" xfId="4" applyNumberFormat="1" applyFont="1" applyFill="1" applyBorder="1" applyAlignment="1"/>
    <xf numFmtId="0" fontId="0" fillId="52" borderId="0" xfId="0" applyFont="1" applyFill="1" applyAlignment="1">
      <alignment horizontal="center" vertical="center"/>
    </xf>
    <xf numFmtId="0" fontId="0" fillId="52" borderId="0" xfId="0" applyFont="1" applyFill="1" applyBorder="1" applyAlignment="1">
      <alignment horizontal="center"/>
    </xf>
    <xf numFmtId="164" fontId="16" fillId="52" borderId="0" xfId="20" applyNumberFormat="1" applyFont="1" applyFill="1" applyBorder="1" applyAlignment="1">
      <alignment vertical="center"/>
    </xf>
    <xf numFmtId="164" fontId="16" fillId="52" borderId="0" xfId="20" applyNumberFormat="1" applyFont="1" applyFill="1" applyBorder="1" applyAlignment="1">
      <alignment horizontal="center" vertical="center"/>
    </xf>
    <xf numFmtId="164" fontId="17" fillId="52" borderId="0" xfId="1" applyNumberFormat="1" applyFont="1" applyFill="1" applyBorder="1" applyAlignment="1">
      <alignment horizontal="center"/>
    </xf>
    <xf numFmtId="0" fontId="11" fillId="52" borderId="0" xfId="0" applyFont="1" applyFill="1" applyBorder="1"/>
    <xf numFmtId="164" fontId="17" fillId="52" borderId="0" xfId="0" applyNumberFormat="1" applyFont="1" applyFill="1" applyBorder="1" applyAlignment="1">
      <alignment horizontal="center"/>
    </xf>
    <xf numFmtId="0" fontId="11" fillId="57" borderId="0" xfId="0" applyFont="1" applyFill="1" applyAlignment="1"/>
    <xf numFmtId="9" fontId="11" fillId="57" borderId="0" xfId="4" applyFont="1" applyFill="1" applyBorder="1" applyAlignment="1">
      <alignment horizontal="center"/>
    </xf>
    <xf numFmtId="0" fontId="67" fillId="57" borderId="0" xfId="128" applyFont="1" applyFill="1" applyBorder="1" applyAlignment="1">
      <alignment horizontal="left"/>
    </xf>
    <xf numFmtId="0" fontId="13" fillId="57" borderId="0" xfId="0" applyFont="1" applyFill="1" applyBorder="1" applyAlignment="1">
      <alignment horizontal="center" vertical="center" wrapText="1"/>
    </xf>
    <xf numFmtId="3" fontId="0" fillId="5" borderId="24" xfId="0" applyNumberFormat="1" applyFont="1" applyFill="1" applyBorder="1" applyAlignment="1">
      <alignment horizontal="center"/>
    </xf>
    <xf numFmtId="3" fontId="0" fillId="5" borderId="18" xfId="0" applyNumberFormat="1" applyFont="1" applyFill="1" applyBorder="1" applyAlignment="1">
      <alignment horizontal="center"/>
    </xf>
    <xf numFmtId="3" fontId="0" fillId="5" borderId="50" xfId="0" applyNumberFormat="1" applyFont="1" applyFill="1" applyBorder="1" applyAlignment="1">
      <alignment horizontal="center"/>
    </xf>
    <xf numFmtId="3" fontId="0" fillId="5" borderId="63" xfId="0" applyNumberFormat="1" applyFont="1" applyFill="1" applyBorder="1" applyAlignment="1">
      <alignment horizontal="center"/>
    </xf>
    <xf numFmtId="3" fontId="0" fillId="5" borderId="64" xfId="0" applyNumberFormat="1" applyFont="1" applyFill="1" applyBorder="1" applyAlignment="1">
      <alignment horizontal="center"/>
    </xf>
    <xf numFmtId="3" fontId="0" fillId="5" borderId="65" xfId="0" applyNumberFormat="1" applyFont="1" applyFill="1" applyBorder="1" applyAlignment="1">
      <alignment horizontal="center"/>
    </xf>
    <xf numFmtId="3" fontId="0" fillId="5" borderId="51" xfId="0" applyNumberFormat="1" applyFont="1" applyFill="1" applyBorder="1" applyAlignment="1">
      <alignment horizontal="center"/>
    </xf>
    <xf numFmtId="3" fontId="0" fillId="5" borderId="66" xfId="0" applyNumberFormat="1" applyFont="1" applyFill="1" applyBorder="1" applyAlignment="1">
      <alignment horizontal="center"/>
    </xf>
    <xf numFmtId="0" fontId="11" fillId="0" borderId="12" xfId="0" applyFont="1" applyFill="1" applyBorder="1"/>
    <xf numFmtId="0" fontId="17" fillId="57" borderId="0" xfId="128" applyFont="1" applyFill="1" applyBorder="1" applyAlignment="1">
      <alignment horizontal="center"/>
    </xf>
    <xf numFmtId="0" fontId="10" fillId="53" borderId="0" xfId="2" applyFont="1" applyFill="1" applyAlignment="1">
      <alignment horizontal="center" vertical="center"/>
    </xf>
    <xf numFmtId="0" fontId="10" fillId="53" borderId="0" xfId="2" applyFont="1" applyFill="1" applyAlignment="1">
      <alignment horizontal="left" vertical="center"/>
    </xf>
    <xf numFmtId="0" fontId="9" fillId="53" borderId="0" xfId="0" applyFont="1" applyFill="1"/>
    <xf numFmtId="0" fontId="67" fillId="53" borderId="0" xfId="128" applyFont="1" applyFill="1" applyBorder="1" applyAlignment="1">
      <alignment horizontal="left" wrapText="1"/>
    </xf>
    <xf numFmtId="0" fontId="11" fillId="53" borderId="0" xfId="0" applyFont="1" applyFill="1" applyBorder="1" applyAlignment="1">
      <alignment horizontal="center"/>
    </xf>
    <xf numFmtId="9" fontId="11" fillId="53" borderId="0" xfId="4" applyFont="1" applyFill="1" applyBorder="1" applyAlignment="1">
      <alignment horizontal="center"/>
    </xf>
    <xf numFmtId="0" fontId="12" fillId="53" borderId="0" xfId="0" applyFont="1" applyFill="1" applyBorder="1" applyAlignment="1">
      <alignment horizontal="center" vertical="center" wrapText="1"/>
    </xf>
    <xf numFmtId="3" fontId="11" fillId="53" borderId="0" xfId="0" applyNumberFormat="1" applyFont="1" applyFill="1" applyBorder="1" applyAlignment="1">
      <alignment horizontal="center"/>
    </xf>
    <xf numFmtId="0" fontId="11" fillId="53" borderId="0" xfId="0" applyFont="1" applyFill="1"/>
    <xf numFmtId="0" fontId="11" fillId="53" borderId="0" xfId="0" applyFont="1" applyFill="1" applyAlignment="1">
      <alignment horizontal="center" vertical="center"/>
    </xf>
    <xf numFmtId="165" fontId="16" fillId="53" borderId="0" xfId="4" applyNumberFormat="1" applyFont="1" applyFill="1" applyBorder="1" applyAlignment="1"/>
    <xf numFmtId="0" fontId="0" fillId="53" borderId="0" xfId="0" applyFont="1" applyFill="1" applyAlignment="1">
      <alignment horizontal="center" vertical="center"/>
    </xf>
    <xf numFmtId="0" fontId="0" fillId="53" borderId="0" xfId="0" applyFont="1" applyFill="1" applyBorder="1" applyAlignment="1">
      <alignment horizontal="center"/>
    </xf>
    <xf numFmtId="164" fontId="16" fillId="53" borderId="0" xfId="20" applyNumberFormat="1" applyFont="1" applyFill="1" applyBorder="1" applyAlignment="1">
      <alignment vertical="center"/>
    </xf>
    <xf numFmtId="164" fontId="16" fillId="53" borderId="0" xfId="20" applyNumberFormat="1" applyFont="1" applyFill="1" applyBorder="1" applyAlignment="1">
      <alignment horizontal="center" vertical="center"/>
    </xf>
    <xf numFmtId="164" fontId="17" fillId="53" borderId="0" xfId="1" applyNumberFormat="1" applyFont="1" applyFill="1" applyBorder="1" applyAlignment="1">
      <alignment horizontal="center"/>
    </xf>
    <xf numFmtId="0" fontId="11" fillId="53" borderId="0" xfId="0" applyFont="1" applyFill="1" applyBorder="1"/>
    <xf numFmtId="164" fontId="17" fillId="53" borderId="0" xfId="0" applyNumberFormat="1" applyFont="1" applyFill="1" applyBorder="1" applyAlignment="1">
      <alignment horizontal="center"/>
    </xf>
    <xf numFmtId="37" fontId="0" fillId="53" borderId="0" xfId="0" applyNumberFormat="1" applyFill="1"/>
    <xf numFmtId="37" fontId="0" fillId="53" borderId="0" xfId="0" applyNumberFormat="1" applyFill="1" applyBorder="1"/>
    <xf numFmtId="1" fontId="11" fillId="10" borderId="5" xfId="0" applyNumberFormat="1" applyFont="1" applyFill="1" applyBorder="1" applyAlignment="1">
      <alignment horizontal="center"/>
    </xf>
    <xf numFmtId="0" fontId="0" fillId="57" borderId="0" xfId="0" applyFill="1"/>
    <xf numFmtId="0" fontId="0" fillId="57" borderId="0" xfId="0" applyFill="1" applyBorder="1"/>
    <xf numFmtId="0" fontId="68" fillId="53" borderId="0" xfId="0" applyFont="1" applyFill="1"/>
    <xf numFmtId="0" fontId="68" fillId="53" borderId="0" xfId="0" applyFont="1" applyFill="1" applyAlignment="1">
      <alignment wrapText="1"/>
    </xf>
    <xf numFmtId="0" fontId="10" fillId="0" borderId="0" xfId="2" applyFont="1" applyFill="1" applyAlignment="1">
      <alignment vertical="center"/>
    </xf>
    <xf numFmtId="0" fontId="17" fillId="0" borderId="0" xfId="128" applyFont="1" applyFill="1" applyBorder="1" applyAlignment="1"/>
    <xf numFmtId="0" fontId="17" fillId="0" borderId="0" xfId="128" applyFont="1" applyFill="1" applyBorder="1" applyAlignment="1">
      <alignment horizontal="center"/>
    </xf>
    <xf numFmtId="0" fontId="67" fillId="0" borderId="0" xfId="128" applyFont="1" applyFill="1" applyBorder="1" applyAlignment="1">
      <alignment horizontal="left"/>
    </xf>
    <xf numFmtId="0" fontId="17" fillId="52" borderId="0" xfId="128" applyFont="1" applyFill="1" applyBorder="1" applyAlignment="1"/>
    <xf numFmtId="0" fontId="0" fillId="52" borderId="0" xfId="0" applyFill="1" applyAlignment="1">
      <alignment horizontal="right"/>
    </xf>
    <xf numFmtId="0" fontId="0" fillId="52" borderId="0" xfId="0" applyFont="1" applyFill="1" applyAlignment="1">
      <alignment horizontal="right"/>
    </xf>
    <xf numFmtId="0" fontId="0" fillId="52" borderId="0" xfId="0" applyFont="1" applyFill="1"/>
    <xf numFmtId="0" fontId="25" fillId="52" borderId="0" xfId="5" applyFont="1" applyFill="1" applyBorder="1" applyAlignment="1">
      <alignment horizontal="left"/>
    </xf>
    <xf numFmtId="0" fontId="29" fillId="52" borderId="0" xfId="0" applyFont="1" applyFill="1"/>
    <xf numFmtId="0" fontId="8" fillId="52" borderId="0" xfId="0" applyFont="1" applyFill="1"/>
    <xf numFmtId="0" fontId="0" fillId="52" borderId="0" xfId="0" applyFill="1" applyBorder="1"/>
    <xf numFmtId="0" fontId="7" fillId="52" borderId="0" xfId="0" applyFont="1" applyFill="1" applyAlignment="1">
      <alignment wrapText="1"/>
    </xf>
    <xf numFmtId="0" fontId="16" fillId="52" borderId="0" xfId="7" applyFont="1" applyFill="1" applyBorder="1"/>
    <xf numFmtId="0" fontId="21" fillId="52" borderId="0" xfId="0" applyFont="1" applyFill="1"/>
    <xf numFmtId="0" fontId="67" fillId="52" borderId="0" xfId="0" applyFont="1" applyFill="1" applyBorder="1" applyAlignment="1">
      <alignment wrapText="1"/>
    </xf>
    <xf numFmtId="0" fontId="67" fillId="0" borderId="0" xfId="0" applyFont="1" applyFill="1" applyBorder="1" applyAlignment="1">
      <alignment wrapText="1"/>
    </xf>
    <xf numFmtId="0" fontId="16" fillId="0" borderId="0" xfId="0" applyFont="1" applyFill="1" applyAlignment="1"/>
    <xf numFmtId="0" fontId="17" fillId="0" borderId="0" xfId="4" applyNumberFormat="1" applyFont="1" applyFill="1" applyBorder="1" applyAlignment="1">
      <alignment horizontal="center"/>
    </xf>
    <xf numFmtId="0" fontId="16" fillId="57" borderId="0" xfId="0" applyFont="1" applyFill="1" applyBorder="1" applyAlignment="1">
      <alignment horizontal="left" wrapText="1"/>
    </xf>
    <xf numFmtId="0" fontId="16" fillId="57" borderId="0" xfId="0" applyFont="1" applyFill="1" applyAlignment="1"/>
    <xf numFmtId="9" fontId="16" fillId="10" borderId="1" xfId="7" applyNumberFormat="1" applyFont="1" applyFill="1" applyBorder="1" applyAlignment="1">
      <alignment horizontal="center" vertical="center" wrapText="1"/>
    </xf>
    <xf numFmtId="169" fontId="16" fillId="0" borderId="0" xfId="0" applyNumberFormat="1" applyFont="1" applyFill="1" applyBorder="1"/>
    <xf numFmtId="0" fontId="11" fillId="57" borderId="53" xfId="174" applyFont="1" applyFill="1" applyBorder="1" applyAlignment="1">
      <alignment horizontal="right" indent="2"/>
    </xf>
    <xf numFmtId="0" fontId="0" fillId="57" borderId="3" xfId="0" applyFill="1" applyBorder="1"/>
    <xf numFmtId="0" fontId="21" fillId="0" borderId="9" xfId="0" applyFont="1" applyBorder="1"/>
    <xf numFmtId="0" fontId="29" fillId="53" borderId="0" xfId="0" applyFont="1" applyFill="1"/>
    <xf numFmtId="3" fontId="11" fillId="10" borderId="25" xfId="0" applyNumberFormat="1" applyFont="1" applyFill="1" applyBorder="1" applyAlignment="1">
      <alignment horizontal="center"/>
    </xf>
    <xf numFmtId="0" fontId="0" fillId="57" borderId="72" xfId="0" applyFill="1" applyBorder="1"/>
    <xf numFmtId="1" fontId="16" fillId="51" borderId="46" xfId="4" applyNumberFormat="1" applyFont="1" applyFill="1" applyBorder="1" applyAlignment="1">
      <alignment horizontal="right" vertical="center"/>
    </xf>
    <xf numFmtId="0" fontId="22" fillId="53" borderId="0" xfId="0" applyFont="1" applyFill="1" applyBorder="1" applyAlignment="1">
      <alignment vertical="center"/>
    </xf>
    <xf numFmtId="0" fontId="25" fillId="53" borderId="0" xfId="5" applyFont="1" applyFill="1" applyBorder="1" applyAlignment="1">
      <alignment horizontal="left"/>
    </xf>
    <xf numFmtId="0" fontId="26" fillId="0" borderId="0" xfId="0" applyFont="1" applyBorder="1" applyAlignment="1">
      <alignment horizontal="center" wrapText="1"/>
    </xf>
    <xf numFmtId="0" fontId="9" fillId="0" borderId="0" xfId="2" applyFont="1" applyFill="1" applyAlignment="1">
      <alignment horizontal="center" vertical="center" wrapText="1"/>
    </xf>
    <xf numFmtId="170" fontId="11" fillId="10" borderId="21" xfId="0" applyNumberFormat="1" applyFont="1" applyFill="1" applyBorder="1" applyAlignment="1">
      <alignment horizontal="center"/>
    </xf>
    <xf numFmtId="0" fontId="27" fillId="53" borderId="0" xfId="0" applyFont="1" applyFill="1" applyBorder="1" applyAlignment="1">
      <alignment horizontal="left" wrapText="1"/>
    </xf>
    <xf numFmtId="0" fontId="14" fillId="53" borderId="0" xfId="5" applyFont="1" applyFill="1" applyBorder="1" applyAlignment="1">
      <alignment horizontal="left"/>
    </xf>
    <xf numFmtId="43" fontId="16" fillId="7" borderId="1" xfId="1" applyNumberFormat="1" applyFont="1" applyFill="1" applyBorder="1" applyAlignment="1">
      <alignment horizontal="center"/>
    </xf>
    <xf numFmtId="164" fontId="16" fillId="7" borderId="1" xfId="1" applyNumberFormat="1" applyFont="1" applyFill="1" applyBorder="1" applyAlignment="1">
      <alignment horizontal="center"/>
    </xf>
    <xf numFmtId="3" fontId="11" fillId="10" borderId="22" xfId="0" applyNumberFormat="1" applyFont="1" applyFill="1" applyBorder="1" applyAlignment="1">
      <alignment horizontal="center"/>
    </xf>
    <xf numFmtId="0" fontId="11" fillId="57" borderId="14" xfId="174" applyFont="1" applyFill="1" applyBorder="1" applyAlignment="1">
      <alignment horizontal="right" indent="2"/>
    </xf>
    <xf numFmtId="0" fontId="67" fillId="52" borderId="0" xfId="174" applyFont="1" applyFill="1" applyBorder="1" applyAlignment="1"/>
    <xf numFmtId="0" fontId="0" fillId="0" borderId="0" xfId="4" applyNumberFormat="1" applyFont="1" applyFill="1" applyBorder="1"/>
    <xf numFmtId="0" fontId="7" fillId="52" borderId="0" xfId="174" applyFill="1" applyAlignment="1"/>
    <xf numFmtId="177" fontId="11" fillId="59" borderId="13" xfId="174" applyNumberFormat="1" applyFont="1" applyFill="1" applyBorder="1" applyAlignment="1">
      <alignment horizontal="right"/>
    </xf>
    <xf numFmtId="0" fontId="7" fillId="53" borderId="0" xfId="0" applyFont="1" applyFill="1" applyAlignment="1">
      <alignment wrapText="1"/>
    </xf>
    <xf numFmtId="1" fontId="17" fillId="0" borderId="0" xfId="0" applyNumberFormat="1" applyFont="1" applyFill="1" applyBorder="1" applyAlignment="1">
      <alignment horizontal="center"/>
    </xf>
    <xf numFmtId="0" fontId="0" fillId="57" borderId="12" xfId="0" applyFill="1" applyBorder="1"/>
    <xf numFmtId="164" fontId="17" fillId="57" borderId="20" xfId="1" applyNumberFormat="1" applyFont="1" applyFill="1" applyBorder="1"/>
    <xf numFmtId="0" fontId="16" fillId="0" borderId="0" xfId="0" applyFont="1" applyAlignment="1">
      <alignment vertical="center" wrapText="1"/>
    </xf>
    <xf numFmtId="0" fontId="9" fillId="53" borderId="0" xfId="3" applyFont="1" applyFill="1" applyAlignment="1">
      <alignment vertical="center"/>
    </xf>
    <xf numFmtId="3" fontId="16" fillId="5" borderId="21" xfId="0" applyNumberFormat="1" applyFont="1" applyFill="1" applyBorder="1" applyAlignment="1">
      <alignment horizontal="center"/>
    </xf>
    <xf numFmtId="0" fontId="15" fillId="53" borderId="0" xfId="5" applyFont="1" applyFill="1" applyBorder="1" applyAlignment="1">
      <alignment horizontal="center" vertical="center" wrapText="1"/>
    </xf>
    <xf numFmtId="0" fontId="16" fillId="53" borderId="0" xfId="7" applyFont="1" applyFill="1" applyBorder="1"/>
    <xf numFmtId="0" fontId="21" fillId="53" borderId="0" xfId="0" applyFont="1" applyFill="1"/>
    <xf numFmtId="0" fontId="0" fillId="53" borderId="0" xfId="9" applyFont="1" applyFill="1" applyBorder="1" applyAlignment="1">
      <alignment horizontal="left" vertical="center" wrapText="1"/>
    </xf>
    <xf numFmtId="0" fontId="21" fillId="0" borderId="0" xfId="0" applyFont="1" applyAlignment="1"/>
    <xf numFmtId="0" fontId="16" fillId="53" borderId="0" xfId="5" applyFont="1" applyFill="1" applyBorder="1" applyAlignment="1">
      <alignment horizontal="left"/>
    </xf>
    <xf numFmtId="3" fontId="11" fillId="10" borderId="21" xfId="0" applyNumberFormat="1" applyFont="1" applyFill="1" applyBorder="1" applyAlignment="1">
      <alignment horizontal="center"/>
    </xf>
    <xf numFmtId="0" fontId="11" fillId="58" borderId="62" xfId="174" applyFont="1" applyFill="1" applyBorder="1" applyAlignment="1">
      <alignment horizontal="right"/>
    </xf>
    <xf numFmtId="0" fontId="67" fillId="52" borderId="0" xfId="174" applyFont="1" applyFill="1" applyBorder="1" applyAlignment="1">
      <alignment vertical="center" wrapText="1"/>
    </xf>
    <xf numFmtId="0" fontId="11" fillId="57" borderId="17" xfId="174" applyFont="1" applyFill="1" applyBorder="1" applyAlignment="1">
      <alignment horizontal="right" indent="2"/>
    </xf>
    <xf numFmtId="0" fontId="0" fillId="53" borderId="0" xfId="0" applyFill="1" applyAlignment="1"/>
    <xf numFmtId="164" fontId="17" fillId="0" borderId="12" xfId="0" applyNumberFormat="1" applyFont="1" applyFill="1" applyBorder="1"/>
    <xf numFmtId="0" fontId="11" fillId="57" borderId="16" xfId="174" applyFont="1" applyFill="1" applyBorder="1" applyAlignment="1">
      <alignment horizontal="right" indent="2"/>
    </xf>
    <xf numFmtId="0" fontId="0" fillId="53" borderId="0" xfId="0" applyFont="1" applyFill="1"/>
    <xf numFmtId="0" fontId="17" fillId="53" borderId="0" xfId="128" applyFont="1" applyFill="1" applyBorder="1" applyAlignment="1"/>
    <xf numFmtId="0" fontId="7" fillId="0" borderId="0" xfId="174"/>
    <xf numFmtId="0" fontId="67" fillId="0" borderId="0" xfId="174" applyFont="1" applyFill="1" applyBorder="1" applyAlignment="1">
      <alignment horizontal="left" wrapText="1"/>
    </xf>
    <xf numFmtId="0" fontId="17" fillId="0" borderId="0" xfId="174" applyFont="1" applyFill="1" applyBorder="1" applyAlignment="1">
      <alignment horizontal="center" wrapText="1"/>
    </xf>
    <xf numFmtId="0" fontId="28" fillId="53" borderId="0" xfId="0" applyFont="1" applyFill="1"/>
    <xf numFmtId="1" fontId="0" fillId="10" borderId="5" xfId="0" applyNumberFormat="1" applyFont="1" applyFill="1" applyBorder="1" applyAlignment="1">
      <alignment horizontal="center"/>
    </xf>
    <xf numFmtId="0" fontId="0" fillId="0" borderId="12" xfId="0" applyBorder="1"/>
    <xf numFmtId="0" fontId="42" fillId="0" borderId="0" xfId="2" applyFont="1" applyFill="1" applyAlignment="1">
      <alignment horizontal="center" vertical="center"/>
    </xf>
    <xf numFmtId="0" fontId="68" fillId="53" borderId="0" xfId="0" applyFont="1" applyFill="1" applyAlignment="1"/>
    <xf numFmtId="0" fontId="11" fillId="0" borderId="0" xfId="174" applyFont="1" applyFill="1" applyBorder="1" applyAlignment="1">
      <alignment horizontal="right" indent="2"/>
    </xf>
    <xf numFmtId="0" fontId="22" fillId="0" borderId="0" xfId="0" applyFont="1" applyFill="1"/>
    <xf numFmtId="164" fontId="17" fillId="7" borderId="16" xfId="1" applyNumberFormat="1" applyFont="1" applyFill="1" applyBorder="1"/>
    <xf numFmtId="0" fontId="7" fillId="0" borderId="0" xfId="174" applyBorder="1"/>
    <xf numFmtId="0" fontId="27" fillId="53" borderId="0" xfId="0" applyFont="1" applyFill="1" applyBorder="1" applyAlignment="1">
      <alignment horizontal="center" wrapText="1"/>
    </xf>
    <xf numFmtId="0" fontId="7" fillId="0" borderId="12" xfId="174" applyBorder="1"/>
    <xf numFmtId="9" fontId="17" fillId="0" borderId="0" xfId="4" applyNumberFormat="1" applyFont="1" applyFill="1" applyBorder="1" applyAlignment="1">
      <alignment horizontal="center"/>
    </xf>
    <xf numFmtId="0" fontId="16" fillId="5" borderId="1" xfId="4" applyNumberFormat="1" applyFont="1" applyFill="1" applyBorder="1" applyAlignment="1">
      <alignment horizontal="center"/>
    </xf>
    <xf numFmtId="0" fontId="7" fillId="0" borderId="0" xfId="174" applyFill="1"/>
    <xf numFmtId="0" fontId="7" fillId="52" borderId="0" xfId="174" applyFill="1"/>
    <xf numFmtId="0" fontId="7" fillId="0" borderId="0" xfId="174"/>
    <xf numFmtId="0" fontId="7" fillId="52" borderId="0" xfId="174" applyFill="1"/>
    <xf numFmtId="9" fontId="16" fillId="5" borderId="1" xfId="4" applyFont="1" applyFill="1" applyBorder="1" applyAlignment="1">
      <alignment horizontal="center"/>
    </xf>
    <xf numFmtId="0" fontId="16" fillId="57" borderId="0" xfId="0" applyFont="1" applyFill="1" applyBorder="1" applyAlignment="1">
      <alignment wrapText="1"/>
    </xf>
    <xf numFmtId="164" fontId="17" fillId="0" borderId="0" xfId="1" applyNumberFormat="1" applyFont="1" applyFill="1" applyBorder="1"/>
    <xf numFmtId="0" fontId="7" fillId="0" borderId="0" xfId="174"/>
    <xf numFmtId="0" fontId="67" fillId="0" borderId="0" xfId="174" applyFont="1" applyFill="1" applyBorder="1" applyAlignment="1">
      <alignment horizontal="left" wrapText="1"/>
    </xf>
    <xf numFmtId="0" fontId="7" fillId="52" borderId="0" xfId="174" applyFill="1"/>
    <xf numFmtId="0" fontId="17" fillId="0" borderId="0" xfId="174" applyFont="1" applyFill="1" applyBorder="1" applyAlignment="1">
      <alignment horizontal="center" vertical="center"/>
    </xf>
    <xf numFmtId="164" fontId="17" fillId="0" borderId="9" xfId="1" applyNumberFormat="1" applyFont="1" applyFill="1" applyBorder="1"/>
    <xf numFmtId="0" fontId="17" fillId="0" borderId="0" xfId="174" applyFont="1" applyFill="1" applyBorder="1" applyAlignment="1">
      <alignment horizontal="center" wrapText="1"/>
    </xf>
    <xf numFmtId="175" fontId="11" fillId="0" borderId="0" xfId="174" applyNumberFormat="1" applyFont="1" applyFill="1" applyBorder="1" applyAlignment="1">
      <alignment horizontal="center" vertical="center"/>
    </xf>
    <xf numFmtId="0" fontId="7" fillId="0" borderId="0" xfId="174"/>
    <xf numFmtId="0" fontId="67" fillId="0" borderId="0" xfId="174" applyFont="1" applyFill="1" applyBorder="1" applyAlignment="1">
      <alignment horizontal="left" wrapText="1"/>
    </xf>
    <xf numFmtId="0" fontId="17" fillId="0" borderId="0" xfId="174" applyFont="1" applyFill="1" applyBorder="1" applyAlignment="1">
      <alignment horizontal="center" wrapText="1"/>
    </xf>
    <xf numFmtId="0" fontId="7" fillId="52" borderId="0" xfId="174" applyFill="1"/>
    <xf numFmtId="0" fontId="11" fillId="0" borderId="12" xfId="174" applyFont="1" applyFill="1" applyBorder="1" applyAlignment="1">
      <alignment horizontal="left"/>
    </xf>
    <xf numFmtId="0" fontId="7" fillId="52" borderId="0" xfId="174" applyFill="1"/>
    <xf numFmtId="0" fontId="11" fillId="58" borderId="6" xfId="174" applyFont="1" applyFill="1" applyBorder="1" applyAlignment="1">
      <alignment horizontal="right"/>
    </xf>
    <xf numFmtId="0" fontId="11" fillId="58" borderId="68" xfId="174" applyFont="1" applyFill="1" applyBorder="1" applyAlignment="1">
      <alignment horizontal="right"/>
    </xf>
    <xf numFmtId="0" fontId="7" fillId="0" borderId="9" xfId="174" applyBorder="1"/>
    <xf numFmtId="0" fontId="68" fillId="53" borderId="0" xfId="0" applyFont="1" applyFill="1" applyAlignment="1">
      <alignment vertical="center" wrapText="1"/>
    </xf>
    <xf numFmtId="0" fontId="16" fillId="57" borderId="0" xfId="0" applyFont="1" applyFill="1" applyAlignment="1">
      <alignment horizontal="left"/>
    </xf>
    <xf numFmtId="3" fontId="0" fillId="10" borderId="22" xfId="0" applyNumberFormat="1" applyFont="1" applyFill="1" applyBorder="1" applyAlignment="1">
      <alignment horizontal="center"/>
    </xf>
    <xf numFmtId="164" fontId="17" fillId="0" borderId="62" xfId="0" applyNumberFormat="1" applyFont="1" applyFill="1" applyBorder="1"/>
    <xf numFmtId="0" fontId="59" fillId="57" borderId="0" xfId="0" applyFont="1" applyFill="1"/>
    <xf numFmtId="0" fontId="67" fillId="52" borderId="0" xfId="174" applyFont="1" applyFill="1" applyBorder="1" applyAlignment="1">
      <alignment vertical="center"/>
    </xf>
    <xf numFmtId="3" fontId="0" fillId="10" borderId="21" xfId="0" applyNumberFormat="1" applyFont="1" applyFill="1" applyBorder="1" applyAlignment="1">
      <alignment horizontal="center"/>
    </xf>
    <xf numFmtId="0" fontId="11" fillId="0" borderId="12" xfId="174" applyFont="1" applyFill="1" applyBorder="1" applyAlignment="1">
      <alignment horizontal="left"/>
    </xf>
    <xf numFmtId="0" fontId="7" fillId="52" borderId="0" xfId="174" applyFill="1"/>
    <xf numFmtId="175" fontId="17" fillId="0" borderId="0" xfId="174" applyNumberFormat="1" applyFont="1" applyFill="1" applyBorder="1" applyAlignment="1">
      <alignment horizontal="center" vertical="center" wrapText="1"/>
    </xf>
    <xf numFmtId="0" fontId="16" fillId="0" borderId="15" xfId="7" applyFont="1" applyBorder="1"/>
    <xf numFmtId="3" fontId="16" fillId="5" borderId="1" xfId="0" applyNumberFormat="1" applyFont="1" applyFill="1" applyBorder="1" applyAlignment="1">
      <alignment horizontal="center"/>
    </xf>
    <xf numFmtId="0" fontId="9" fillId="0" borderId="0" xfId="2" applyFill="1" applyAlignment="1">
      <alignment horizontal="center" vertical="center"/>
    </xf>
    <xf numFmtId="0" fontId="7" fillId="0" borderId="0" xfId="174"/>
    <xf numFmtId="0" fontId="67" fillId="0" borderId="0" xfId="174" applyFont="1" applyFill="1" applyBorder="1" applyAlignment="1">
      <alignment horizontal="left" wrapText="1"/>
    </xf>
    <xf numFmtId="0" fontId="17" fillId="0" borderId="0" xfId="174" applyFont="1" applyFill="1" applyBorder="1" applyAlignment="1">
      <alignment horizontal="center" vertical="center"/>
    </xf>
    <xf numFmtId="0" fontId="17" fillId="0" borderId="0" xfId="174" applyFont="1" applyFill="1" applyBorder="1" applyAlignment="1">
      <alignment horizontal="center" wrapText="1"/>
    </xf>
    <xf numFmtId="175" fontId="17" fillId="0" borderId="0" xfId="174" applyNumberFormat="1" applyFont="1" applyFill="1" applyBorder="1" applyAlignment="1">
      <alignment horizontal="center" vertical="center" wrapText="1"/>
    </xf>
    <xf numFmtId="0" fontId="7" fillId="0" borderId="0" xfId="174"/>
    <xf numFmtId="0" fontId="67" fillId="0" borderId="0" xfId="174" applyFont="1" applyFill="1" applyBorder="1" applyAlignment="1">
      <alignment horizontal="left" wrapText="1"/>
    </xf>
    <xf numFmtId="0" fontId="17" fillId="0" borderId="0" xfId="174" applyFont="1" applyFill="1" applyBorder="1" applyAlignment="1">
      <alignment horizontal="center" wrapText="1"/>
    </xf>
    <xf numFmtId="0" fontId="11" fillId="0" borderId="12" xfId="174" applyFont="1" applyFill="1" applyBorder="1" applyAlignment="1">
      <alignment horizontal="left"/>
    </xf>
    <xf numFmtId="0" fontId="7" fillId="0" borderId="0" xfId="174"/>
    <xf numFmtId="0" fontId="11" fillId="58" borderId="7" xfId="174" applyFont="1" applyFill="1" applyBorder="1" applyAlignment="1">
      <alignment horizontal="right"/>
    </xf>
    <xf numFmtId="0" fontId="11" fillId="58" borderId="6" xfId="174" applyFont="1" applyFill="1" applyBorder="1" applyAlignment="1">
      <alignment horizontal="right"/>
    </xf>
    <xf numFmtId="0" fontId="11" fillId="58" borderId="68" xfId="174" applyFont="1" applyFill="1" applyBorder="1" applyAlignment="1">
      <alignment horizontal="right"/>
    </xf>
    <xf numFmtId="0" fontId="7" fillId="0" borderId="0" xfId="174" applyFill="1"/>
    <xf numFmtId="0" fontId="7" fillId="52" borderId="0" xfId="174" applyFill="1"/>
    <xf numFmtId="43" fontId="17" fillId="0" borderId="0" xfId="1" applyNumberFormat="1" applyFont="1" applyFill="1" applyBorder="1"/>
    <xf numFmtId="0" fontId="0" fillId="53" borderId="0" xfId="0" applyFill="1" applyAlignment="1">
      <alignment horizontal="left" vertical="center" wrapText="1"/>
    </xf>
    <xf numFmtId="0" fontId="67" fillId="52" borderId="0" xfId="174" applyFont="1" applyFill="1" applyBorder="1" applyAlignment="1">
      <alignment wrapText="1"/>
    </xf>
    <xf numFmtId="0" fontId="16" fillId="0" borderId="9" xfId="7" applyFont="1" applyFill="1" applyBorder="1"/>
    <xf numFmtId="10" fontId="0" fillId="53" borderId="0" xfId="4" applyNumberFormat="1" applyFont="1" applyFill="1"/>
    <xf numFmtId="0" fontId="11" fillId="0" borderId="12" xfId="174" applyFont="1" applyFill="1" applyBorder="1" applyAlignment="1">
      <alignment horizontal="left"/>
    </xf>
    <xf numFmtId="164" fontId="17" fillId="7" borderId="13" xfId="0" applyNumberFormat="1" applyFont="1" applyFill="1" applyBorder="1"/>
    <xf numFmtId="0" fontId="16" fillId="57" borderId="0" xfId="7" applyFont="1" applyFill="1" applyBorder="1"/>
    <xf numFmtId="0" fontId="8" fillId="53" borderId="0" xfId="0" applyFont="1" applyFill="1" applyAlignment="1">
      <alignment vertical="center" wrapText="1"/>
    </xf>
    <xf numFmtId="0" fontId="16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center"/>
    </xf>
    <xf numFmtId="0" fontId="0" fillId="57" borderId="0" xfId="0" applyFill="1" applyAlignment="1">
      <alignment horizontal="left" indent="1"/>
    </xf>
    <xf numFmtId="164" fontId="17" fillId="0" borderId="6" xfId="0" applyNumberFormat="1" applyFont="1" applyFill="1" applyBorder="1"/>
    <xf numFmtId="0" fontId="17" fillId="0" borderId="0" xfId="174" applyFont="1" applyFill="1" applyBorder="1" applyAlignment="1">
      <alignment horizontal="center" vertical="center"/>
    </xf>
    <xf numFmtId="43" fontId="0" fillId="0" borderId="0" xfId="0" applyNumberFormat="1" applyFont="1" applyFill="1" applyBorder="1"/>
    <xf numFmtId="0" fontId="17" fillId="0" borderId="0" xfId="174" applyFont="1" applyFill="1" applyBorder="1" applyAlignment="1">
      <alignment horizontal="center" vertical="center"/>
    </xf>
    <xf numFmtId="0" fontId="0" fillId="57" borderId="0" xfId="0" applyFont="1" applyFill="1" applyAlignment="1">
      <alignment horizontal="left"/>
    </xf>
    <xf numFmtId="0" fontId="11" fillId="0" borderId="12" xfId="174" applyFont="1" applyFill="1" applyBorder="1" applyAlignment="1">
      <alignment horizontal="left"/>
    </xf>
    <xf numFmtId="0" fontId="7" fillId="0" borderId="0" xfId="174"/>
    <xf numFmtId="0" fontId="11" fillId="58" borderId="7" xfId="174" applyFont="1" applyFill="1" applyBorder="1" applyAlignment="1">
      <alignment horizontal="right"/>
    </xf>
    <xf numFmtId="0" fontId="11" fillId="58" borderId="6" xfId="174" applyFont="1" applyFill="1" applyBorder="1" applyAlignment="1">
      <alignment horizontal="right"/>
    </xf>
    <xf numFmtId="0" fontId="11" fillId="58" borderId="68" xfId="174" applyFont="1" applyFill="1" applyBorder="1" applyAlignment="1">
      <alignment horizontal="right"/>
    </xf>
    <xf numFmtId="0" fontId="11" fillId="57" borderId="10" xfId="174" applyFont="1" applyFill="1" applyBorder="1" applyAlignment="1">
      <alignment horizontal="right" indent="2"/>
    </xf>
    <xf numFmtId="0" fontId="11" fillId="57" borderId="15" xfId="174" applyFont="1" applyFill="1" applyBorder="1" applyAlignment="1">
      <alignment horizontal="right" indent="2"/>
    </xf>
    <xf numFmtId="0" fontId="68" fillId="53" borderId="0" xfId="0" applyFont="1" applyFill="1" applyAlignment="1">
      <alignment horizontal="left" vertical="center" wrapText="1"/>
    </xf>
    <xf numFmtId="1" fontId="11" fillId="5" borderId="1" xfId="0" applyNumberFormat="1" applyFont="1" applyFill="1" applyBorder="1" applyAlignment="1">
      <alignment horizontal="center"/>
    </xf>
    <xf numFmtId="0" fontId="10" fillId="0" borderId="0" xfId="176" applyFont="1" applyFill="1" applyAlignment="1">
      <alignment vertical="center"/>
    </xf>
    <xf numFmtId="0" fontId="11" fillId="0" borderId="12" xfId="174" applyFont="1" applyFill="1" applyBorder="1" applyAlignment="1">
      <alignment horizontal="left"/>
    </xf>
    <xf numFmtId="0" fontId="7" fillId="0" borderId="0" xfId="174" applyFill="1"/>
    <xf numFmtId="0" fontId="7" fillId="52" borderId="0" xfId="174" applyFill="1"/>
    <xf numFmtId="0" fontId="0" fillId="53" borderId="0" xfId="0" applyFill="1" applyAlignment="1">
      <alignment vertical="center" wrapText="1"/>
    </xf>
    <xf numFmtId="0" fontId="7" fillId="0" borderId="0" xfId="174"/>
    <xf numFmtId="0" fontId="67" fillId="0" borderId="0" xfId="174" applyFont="1" applyFill="1" applyBorder="1" applyAlignment="1">
      <alignment horizontal="left" wrapText="1"/>
    </xf>
    <xf numFmtId="0" fontId="17" fillId="0" borderId="0" xfId="174" applyFont="1" applyFill="1" applyBorder="1" applyAlignment="1">
      <alignment horizontal="center" vertical="center"/>
    </xf>
    <xf numFmtId="0" fontId="11" fillId="0" borderId="12" xfId="174" applyFont="1" applyFill="1" applyBorder="1" applyAlignment="1">
      <alignment horizontal="left"/>
    </xf>
    <xf numFmtId="0" fontId="7" fillId="0" borderId="0" xfId="174" applyFill="1"/>
    <xf numFmtId="0" fontId="7" fillId="52" borderId="0" xfId="174" applyFill="1"/>
    <xf numFmtId="0" fontId="11" fillId="0" borderId="7" xfId="0" applyFont="1" applyFill="1" applyBorder="1" applyAlignment="1">
      <alignment horizontal="center"/>
    </xf>
    <xf numFmtId="0" fontId="67" fillId="55" borderId="0" xfId="0" applyFont="1" applyFill="1" applyBorder="1" applyAlignment="1">
      <alignment horizontal="left" wrapText="1"/>
    </xf>
    <xf numFmtId="165" fontId="16" fillId="0" borderId="26" xfId="4" applyNumberFormat="1" applyFont="1" applyFill="1" applyBorder="1" applyAlignment="1">
      <alignment horizontal="right"/>
    </xf>
    <xf numFmtId="0" fontId="44" fillId="0" borderId="0" xfId="2" applyFont="1" applyFill="1" applyAlignment="1">
      <alignment horizontal="center" vertical="center"/>
    </xf>
    <xf numFmtId="0" fontId="0" fillId="0" borderId="9" xfId="0" applyFill="1" applyBorder="1"/>
    <xf numFmtId="0" fontId="0" fillId="57" borderId="0" xfId="0" applyFill="1" applyAlignment="1">
      <alignment horizontal="left"/>
    </xf>
    <xf numFmtId="0" fontId="16" fillId="57" borderId="0" xfId="7" applyFont="1" applyFill="1" applyBorder="1" applyAlignment="1">
      <alignment horizontal="left" vertical="center" wrapText="1" indent="1"/>
    </xf>
    <xf numFmtId="0" fontId="0" fillId="50" borderId="3" xfId="0" applyFill="1" applyBorder="1" applyAlignment="1">
      <alignment vertical="center" wrapText="1" shrinkToFit="1"/>
    </xf>
    <xf numFmtId="0" fontId="0" fillId="57" borderId="0" xfId="0" applyFill="1" applyAlignment="1">
      <alignment horizontal="left" wrapText="1" indent="1"/>
    </xf>
    <xf numFmtId="0" fontId="9" fillId="53" borderId="0" xfId="3" applyFill="1" applyBorder="1" applyAlignment="1">
      <alignment vertical="center" wrapText="1"/>
    </xf>
    <xf numFmtId="167" fontId="17" fillId="0" borderId="0" xfId="0" applyNumberFormat="1" applyFont="1" applyFill="1" applyBorder="1" applyAlignment="1">
      <alignment horizontal="center"/>
    </xf>
    <xf numFmtId="9" fontId="16" fillId="5" borderId="26" xfId="8" applyFont="1" applyFill="1" applyBorder="1" applyAlignment="1"/>
    <xf numFmtId="164" fontId="0" fillId="0" borderId="0" xfId="0" applyNumberFormat="1" applyFont="1" applyFill="1" applyBorder="1"/>
    <xf numFmtId="9" fontId="16" fillId="51" borderId="46" xfId="4" applyNumberFormat="1" applyFont="1" applyFill="1" applyBorder="1" applyAlignment="1">
      <alignment horizontal="right" vertical="center"/>
    </xf>
    <xf numFmtId="37" fontId="17" fillId="59" borderId="75" xfId="0" applyNumberFormat="1" applyFont="1" applyFill="1" applyBorder="1"/>
    <xf numFmtId="166" fontId="16" fillId="0" borderId="0" xfId="4" applyNumberFormat="1" applyFont="1" applyFill="1" applyBorder="1" applyAlignment="1">
      <alignment horizontal="right"/>
    </xf>
    <xf numFmtId="37" fontId="17" fillId="59" borderId="17" xfId="0" applyNumberFormat="1" applyFont="1" applyFill="1" applyBorder="1"/>
    <xf numFmtId="0" fontId="11" fillId="0" borderId="0" xfId="0" applyFont="1" applyFill="1" applyAlignment="1">
      <alignment horizontal="center"/>
    </xf>
    <xf numFmtId="168" fontId="16" fillId="0" borderId="0" xfId="1" applyNumberFormat="1" applyFont="1" applyFill="1" applyBorder="1" applyAlignment="1">
      <alignment horizontal="right"/>
    </xf>
    <xf numFmtId="164" fontId="17" fillId="7" borderId="74" xfId="0" applyNumberFormat="1" applyFont="1" applyFill="1" applyBorder="1"/>
    <xf numFmtId="167" fontId="17" fillId="7" borderId="74" xfId="0" applyNumberFormat="1" applyFont="1" applyFill="1" applyBorder="1" applyAlignment="1">
      <alignment horizontal="right"/>
    </xf>
    <xf numFmtId="0" fontId="11" fillId="57" borderId="10" xfId="174" applyFont="1" applyFill="1" applyBorder="1" applyAlignment="1">
      <alignment horizontal="right" indent="2"/>
    </xf>
    <xf numFmtId="0" fontId="11" fillId="57" borderId="15" xfId="174" applyFont="1" applyFill="1" applyBorder="1" applyAlignment="1">
      <alignment horizontal="right" indent="2"/>
    </xf>
    <xf numFmtId="0" fontId="11" fillId="57" borderId="13" xfId="174" applyFont="1" applyFill="1" applyBorder="1" applyAlignment="1">
      <alignment horizontal="right" indent="2"/>
    </xf>
    <xf numFmtId="165" fontId="16" fillId="0" borderId="6" xfId="4" applyNumberFormat="1" applyFont="1" applyFill="1" applyBorder="1" applyAlignment="1">
      <alignment horizontal="right"/>
    </xf>
    <xf numFmtId="165" fontId="16" fillId="0" borderId="31" xfId="4" applyNumberFormat="1" applyFont="1" applyFill="1" applyBorder="1" applyAlignment="1">
      <alignment horizontal="right"/>
    </xf>
    <xf numFmtId="165" fontId="16" fillId="51" borderId="46" xfId="4" applyNumberFormat="1" applyFont="1" applyFill="1" applyBorder="1" applyAlignment="1">
      <alignment horizontal="right" vertical="center"/>
    </xf>
    <xf numFmtId="0" fontId="7" fillId="0" borderId="0" xfId="174"/>
    <xf numFmtId="0" fontId="67" fillId="0" borderId="0" xfId="174" applyFont="1" applyFill="1" applyBorder="1" applyAlignment="1">
      <alignment horizontal="left" wrapText="1"/>
    </xf>
    <xf numFmtId="0" fontId="17" fillId="0" borderId="0" xfId="174" applyFont="1" applyFill="1" applyBorder="1" applyAlignment="1">
      <alignment horizontal="center" vertical="center"/>
    </xf>
    <xf numFmtId="0" fontId="7" fillId="0" borderId="0" xfId="174" applyFill="1"/>
    <xf numFmtId="0" fontId="7" fillId="52" borderId="0" xfId="174" applyFill="1"/>
    <xf numFmtId="3" fontId="39" fillId="53" borderId="0" xfId="0" applyNumberFormat="1" applyFont="1" applyFill="1"/>
    <xf numFmtId="0" fontId="0" fillId="0" borderId="52" xfId="0" applyBorder="1"/>
    <xf numFmtId="0" fontId="7" fillId="52" borderId="0" xfId="174" applyFill="1"/>
    <xf numFmtId="0" fontId="7" fillId="0" borderId="0" xfId="174"/>
    <xf numFmtId="0" fontId="67" fillId="0" borderId="0" xfId="174" applyFont="1" applyFill="1" applyBorder="1" applyAlignment="1">
      <alignment horizontal="left" wrapText="1"/>
    </xf>
    <xf numFmtId="0" fontId="17" fillId="0" borderId="0" xfId="174" applyFont="1" applyFill="1" applyBorder="1" applyAlignment="1">
      <alignment horizontal="center" wrapText="1"/>
    </xf>
    <xf numFmtId="0" fontId="7" fillId="52" borderId="0" xfId="174" applyFill="1"/>
    <xf numFmtId="0" fontId="11" fillId="0" borderId="12" xfId="174" applyFont="1" applyFill="1" applyBorder="1" applyAlignment="1">
      <alignment horizontal="left"/>
    </xf>
    <xf numFmtId="0" fontId="7" fillId="52" borderId="0" xfId="174" applyFill="1"/>
    <xf numFmtId="3" fontId="7" fillId="7" borderId="1" xfId="8" applyNumberFormat="1" applyFont="1" applyFill="1" applyBorder="1" applyAlignment="1">
      <alignment horizontal="center"/>
    </xf>
    <xf numFmtId="0" fontId="11" fillId="57" borderId="12" xfId="174" applyFont="1" applyFill="1" applyBorder="1" applyAlignment="1">
      <alignment horizontal="right" indent="2"/>
    </xf>
    <xf numFmtId="0" fontId="11" fillId="0" borderId="12" xfId="174" applyFont="1" applyFill="1" applyBorder="1" applyAlignment="1">
      <alignment horizontal="left"/>
    </xf>
    <xf numFmtId="3" fontId="16" fillId="0" borderId="0" xfId="1" applyNumberFormat="1" applyFont="1" applyFill="1" applyBorder="1"/>
    <xf numFmtId="171" fontId="0" fillId="0" borderId="0" xfId="0" applyNumberFormat="1" applyFont="1" applyFill="1" applyBorder="1"/>
    <xf numFmtId="164" fontId="16" fillId="0" borderId="0" xfId="1" applyNumberFormat="1" applyFont="1" applyFill="1" applyBorder="1" applyAlignment="1">
      <alignment horizontal="right"/>
    </xf>
    <xf numFmtId="165" fontId="17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left" indent="1"/>
    </xf>
    <xf numFmtId="3" fontId="17" fillId="0" borderId="0" xfId="1" applyNumberFormat="1" applyFont="1" applyFill="1" applyBorder="1"/>
    <xf numFmtId="3" fontId="17" fillId="7" borderId="74" xfId="1" applyNumberFormat="1" applyFont="1" applyFill="1" applyBorder="1"/>
    <xf numFmtId="43" fontId="0" fillId="53" borderId="0" xfId="0" quotePrefix="1" applyNumberFormat="1" applyFill="1"/>
    <xf numFmtId="7" fontId="7" fillId="5" borderId="26" xfId="12" applyNumberFormat="1" applyFont="1" applyFill="1" applyBorder="1" applyAlignment="1"/>
    <xf numFmtId="177" fontId="11" fillId="59" borderId="15" xfId="174" applyNumberFormat="1" applyFont="1" applyFill="1" applyBorder="1" applyAlignment="1">
      <alignment horizontal="right"/>
    </xf>
    <xf numFmtId="3" fontId="17" fillId="7" borderId="75" xfId="1" applyNumberFormat="1" applyFont="1" applyFill="1" applyBorder="1"/>
    <xf numFmtId="0" fontId="17" fillId="0" borderId="0" xfId="7" applyFont="1" applyFill="1" applyBorder="1" applyAlignment="1">
      <alignment horizontal="left" wrapText="1"/>
    </xf>
    <xf numFmtId="43" fontId="16" fillId="0" borderId="0" xfId="1" applyNumberFormat="1" applyFont="1" applyFill="1" applyBorder="1" applyAlignment="1">
      <alignment horizontal="right"/>
    </xf>
    <xf numFmtId="39" fontId="0" fillId="0" borderId="0" xfId="0" applyNumberFormat="1" applyFill="1" applyBorder="1"/>
    <xf numFmtId="39" fontId="0" fillId="0" borderId="0" xfId="0" applyNumberFormat="1" applyFont="1" applyFill="1" applyBorder="1"/>
    <xf numFmtId="3" fontId="17" fillId="7" borderId="73" xfId="1" applyNumberFormat="1" applyFont="1" applyFill="1" applyBorder="1"/>
    <xf numFmtId="0" fontId="17" fillId="57" borderId="0" xfId="7" applyFont="1" applyFill="1" applyBorder="1" applyAlignment="1">
      <alignment vertical="center"/>
    </xf>
    <xf numFmtId="0" fontId="17" fillId="57" borderId="0" xfId="7" applyFont="1" applyFill="1" applyBorder="1" applyAlignment="1"/>
    <xf numFmtId="4" fontId="16" fillId="0" borderId="0" xfId="1" applyNumberFormat="1" applyFont="1" applyFill="1" applyBorder="1"/>
    <xf numFmtId="0" fontId="17" fillId="57" borderId="0" xfId="7" applyFont="1" applyFill="1" applyBorder="1"/>
    <xf numFmtId="3" fontId="16" fillId="0" borderId="9" xfId="1" applyNumberFormat="1" applyFont="1" applyFill="1" applyBorder="1"/>
    <xf numFmtId="176" fontId="11" fillId="59" borderId="15" xfId="174" applyNumberFormat="1" applyFont="1" applyFill="1" applyBorder="1" applyAlignment="1">
      <alignment horizontal="right"/>
    </xf>
    <xf numFmtId="3" fontId="17" fillId="0" borderId="0" xfId="0" applyNumberFormat="1" applyFont="1" applyFill="1" applyBorder="1" applyAlignment="1">
      <alignment horizontal="center"/>
    </xf>
    <xf numFmtId="4" fontId="16" fillId="0" borderId="47" xfId="1" applyNumberFormat="1" applyFont="1" applyFill="1" applyBorder="1"/>
    <xf numFmtId="170" fontId="17" fillId="0" borderId="0" xfId="0" applyNumberFormat="1" applyFont="1" applyFill="1" applyBorder="1" applyAlignment="1">
      <alignment horizontal="center"/>
    </xf>
    <xf numFmtId="0" fontId="7" fillId="0" borderId="0" xfId="174" applyFill="1"/>
    <xf numFmtId="0" fontId="7" fillId="52" borderId="0" xfId="174" applyFill="1"/>
    <xf numFmtId="0" fontId="16" fillId="0" borderId="9" xfId="0" applyFont="1" applyFill="1" applyBorder="1"/>
    <xf numFmtId="4" fontId="16" fillId="0" borderId="6" xfId="1" applyNumberFormat="1" applyFont="1" applyFill="1" applyBorder="1"/>
    <xf numFmtId="177" fontId="11" fillId="59" borderId="15" xfId="174" applyNumberFormat="1" applyFont="1" applyFill="1" applyBorder="1" applyAlignment="1">
      <alignment horizontal="right"/>
    </xf>
    <xf numFmtId="0" fontId="7" fillId="53" borderId="0" xfId="0" applyFont="1" applyFill="1"/>
    <xf numFmtId="0" fontId="7" fillId="0" borderId="0" xfId="174"/>
    <xf numFmtId="0" fontId="67" fillId="0" borderId="0" xfId="174" applyFont="1" applyFill="1" applyBorder="1" applyAlignment="1">
      <alignment horizontal="left" wrapText="1"/>
    </xf>
    <xf numFmtId="0" fontId="17" fillId="0" borderId="0" xfId="174" applyFont="1" applyFill="1" applyBorder="1" applyAlignment="1">
      <alignment horizontal="center" vertical="center"/>
    </xf>
    <xf numFmtId="0" fontId="17" fillId="0" borderId="0" xfId="174" applyFont="1" applyFill="1" applyBorder="1" applyAlignment="1">
      <alignment horizontal="center" vertical="center"/>
    </xf>
    <xf numFmtId="0" fontId="17" fillId="57" borderId="0" xfId="174" applyFont="1" applyFill="1" applyBorder="1" applyAlignment="1">
      <alignment horizontal="center" vertical="center" wrapText="1"/>
    </xf>
    <xf numFmtId="0" fontId="7" fillId="0" borderId="0" xfId="174"/>
    <xf numFmtId="0" fontId="67" fillId="0" borderId="0" xfId="174" applyFont="1" applyFill="1" applyBorder="1" applyAlignment="1">
      <alignment horizontal="left" wrapText="1"/>
    </xf>
    <xf numFmtId="0" fontId="17" fillId="0" borderId="0" xfId="174" applyFont="1" applyFill="1" applyBorder="1" applyAlignment="1">
      <alignment horizontal="center" wrapText="1"/>
    </xf>
    <xf numFmtId="3" fontId="17" fillId="7" borderId="25" xfId="1" applyNumberFormat="1" applyFont="1" applyFill="1" applyBorder="1"/>
    <xf numFmtId="3" fontId="17" fillId="7" borderId="22" xfId="1" applyNumberFormat="1" applyFont="1" applyFill="1" applyBorder="1"/>
    <xf numFmtId="9" fontId="16" fillId="5" borderId="1" xfId="8" applyFont="1" applyFill="1" applyBorder="1" applyAlignment="1"/>
    <xf numFmtId="0" fontId="7" fillId="0" borderId="0" xfId="174"/>
    <xf numFmtId="0" fontId="11" fillId="0" borderId="12" xfId="174" applyFont="1" applyFill="1" applyBorder="1" applyAlignment="1">
      <alignment horizontal="left"/>
    </xf>
    <xf numFmtId="0" fontId="7" fillId="52" borderId="0" xfId="174" applyFill="1"/>
    <xf numFmtId="0" fontId="11" fillId="58" borderId="7" xfId="174" applyFont="1" applyFill="1" applyBorder="1" applyAlignment="1">
      <alignment horizontal="right"/>
    </xf>
    <xf numFmtId="0" fontId="11" fillId="58" borderId="6" xfId="174" applyFont="1" applyFill="1" applyBorder="1" applyAlignment="1">
      <alignment horizontal="right"/>
    </xf>
    <xf numFmtId="0" fontId="11" fillId="58" borderId="68" xfId="174" applyFont="1" applyFill="1" applyBorder="1" applyAlignment="1">
      <alignment horizontal="right"/>
    </xf>
    <xf numFmtId="0" fontId="11" fillId="57" borderId="10" xfId="174" applyFont="1" applyFill="1" applyBorder="1" applyAlignment="1">
      <alignment horizontal="right" indent="2"/>
    </xf>
    <xf numFmtId="0" fontId="11" fillId="57" borderId="15" xfId="174" applyFont="1" applyFill="1" applyBorder="1" applyAlignment="1">
      <alignment horizontal="right" indent="2"/>
    </xf>
    <xf numFmtId="0" fontId="16" fillId="57" borderId="0" xfId="7" applyFont="1" applyFill="1" applyBorder="1" applyAlignment="1">
      <alignment horizontal="left" wrapText="1" indent="1"/>
    </xf>
    <xf numFmtId="0" fontId="10" fillId="53" borderId="0" xfId="176" applyFont="1" applyFill="1" applyAlignment="1">
      <alignment vertical="center"/>
    </xf>
    <xf numFmtId="0" fontId="17" fillId="0" borderId="0" xfId="7" applyFont="1" applyFill="1" applyBorder="1" applyAlignment="1">
      <alignment wrapText="1"/>
    </xf>
    <xf numFmtId="0" fontId="17" fillId="0" borderId="0" xfId="7" applyFont="1" applyFill="1" applyBorder="1" applyAlignment="1">
      <alignment horizontal="center" wrapText="1"/>
    </xf>
    <xf numFmtId="176" fontId="11" fillId="59" borderId="15" xfId="174" applyNumberFormat="1" applyFont="1" applyFill="1" applyBorder="1" applyAlignment="1">
      <alignment horizontal="right"/>
    </xf>
    <xf numFmtId="0" fontId="68" fillId="53" borderId="0" xfId="7" applyFont="1" applyFill="1" applyBorder="1"/>
    <xf numFmtId="0" fontId="11" fillId="0" borderId="12" xfId="174" applyFont="1" applyFill="1" applyBorder="1" applyAlignment="1">
      <alignment horizontal="left"/>
    </xf>
    <xf numFmtId="0" fontId="17" fillId="57" borderId="0" xfId="7" applyFont="1" applyFill="1" applyBorder="1" applyAlignment="1">
      <alignment vertical="center" wrapText="1"/>
    </xf>
    <xf numFmtId="0" fontId="17" fillId="0" borderId="0" xfId="174" applyFont="1" applyFill="1" applyBorder="1" applyAlignment="1">
      <alignment horizontal="center" vertical="center" wrapText="1"/>
    </xf>
    <xf numFmtId="0" fontId="17" fillId="57" borderId="0" xfId="7" applyFont="1" applyFill="1" applyBorder="1" applyAlignment="1">
      <alignment horizontal="center" vertical="center" wrapText="1"/>
    </xf>
    <xf numFmtId="9" fontId="16" fillId="0" borderId="0" xfId="7" applyNumberFormat="1" applyFont="1" applyFill="1" applyBorder="1" applyAlignment="1">
      <alignment vertical="center" wrapText="1"/>
    </xf>
    <xf numFmtId="0" fontId="11" fillId="57" borderId="9" xfId="174" applyFont="1" applyFill="1" applyBorder="1" applyAlignment="1">
      <alignment horizontal="right" indent="2"/>
    </xf>
    <xf numFmtId="0" fontId="16" fillId="57" borderId="0" xfId="7" applyFont="1" applyFill="1" applyBorder="1" applyAlignment="1">
      <alignment horizontal="left" indent="2"/>
    </xf>
    <xf numFmtId="10" fontId="7" fillId="7" borderId="1" xfId="8" applyNumberFormat="1" applyFont="1" applyFill="1" applyBorder="1" applyAlignment="1">
      <alignment horizontal="center"/>
    </xf>
    <xf numFmtId="9" fontId="16" fillId="10" borderId="26" xfId="7" applyNumberFormat="1" applyFont="1" applyFill="1" applyBorder="1" applyAlignment="1">
      <alignment horizontal="center" vertical="center" wrapText="1"/>
    </xf>
    <xf numFmtId="0" fontId="16" fillId="0" borderId="4" xfId="7" applyFont="1" applyBorder="1"/>
    <xf numFmtId="0" fontId="16" fillId="0" borderId="52" xfId="7" applyFont="1" applyBorder="1"/>
    <xf numFmtId="0" fontId="11" fillId="57" borderId="0" xfId="174" applyFont="1" applyFill="1" applyBorder="1" applyAlignment="1">
      <alignment horizontal="right" indent="2"/>
    </xf>
    <xf numFmtId="3" fontId="16" fillId="7" borderId="1" xfId="8" applyNumberFormat="1" applyFont="1" applyFill="1" applyBorder="1" applyAlignment="1">
      <alignment horizontal="center"/>
    </xf>
    <xf numFmtId="0" fontId="16" fillId="0" borderId="9" xfId="7" applyFont="1" applyBorder="1"/>
    <xf numFmtId="0" fontId="11" fillId="0" borderId="52" xfId="0" applyFont="1" applyFill="1" applyBorder="1"/>
    <xf numFmtId="37" fontId="17" fillId="0" borderId="52" xfId="0" applyNumberFormat="1" applyFont="1" applyFill="1" applyBorder="1"/>
    <xf numFmtId="0" fontId="11" fillId="57" borderId="10" xfId="174" applyFont="1" applyFill="1" applyBorder="1" applyAlignment="1">
      <alignment horizontal="right" indent="2"/>
    </xf>
    <xf numFmtId="0" fontId="11" fillId="57" borderId="15" xfId="174" applyFont="1" applyFill="1" applyBorder="1" applyAlignment="1">
      <alignment horizontal="right" indent="2"/>
    </xf>
    <xf numFmtId="0" fontId="11" fillId="57" borderId="13" xfId="174" applyFont="1" applyFill="1" applyBorder="1" applyAlignment="1">
      <alignment horizontal="right" indent="2"/>
    </xf>
    <xf numFmtId="0" fontId="36" fillId="53" borderId="0" xfId="7" applyFont="1" applyFill="1" applyBorder="1"/>
    <xf numFmtId="1" fontId="16" fillId="57" borderId="0" xfId="8" applyNumberFormat="1" applyFont="1" applyFill="1" applyBorder="1" applyAlignment="1"/>
    <xf numFmtId="0" fontId="7" fillId="0" borderId="0" xfId="174" applyFill="1"/>
    <xf numFmtId="0" fontId="7" fillId="52" borderId="0" xfId="174" applyFill="1"/>
    <xf numFmtId="0" fontId="7" fillId="52" borderId="0" xfId="174" applyFill="1"/>
    <xf numFmtId="0" fontId="11" fillId="0" borderId="12" xfId="174" applyFont="1" applyFill="1" applyBorder="1" applyAlignment="1">
      <alignment horizontal="left"/>
    </xf>
    <xf numFmtId="0" fontId="0" fillId="50" borderId="3" xfId="0" applyFill="1" applyBorder="1" applyAlignment="1">
      <alignment horizontal="left" vertical="center" wrapText="1" shrinkToFit="1"/>
    </xf>
    <xf numFmtId="0" fontId="16" fillId="53" borderId="0" xfId="0" applyFont="1" applyFill="1"/>
    <xf numFmtId="0" fontId="12" fillId="0" borderId="0" xfId="0" applyFont="1" applyFill="1" applyBorder="1" applyAlignment="1">
      <alignment horizontal="center"/>
    </xf>
    <xf numFmtId="0" fontId="13" fillId="57" borderId="0" xfId="0" applyFont="1" applyFill="1" applyBorder="1" applyAlignment="1">
      <alignment horizontal="left" wrapText="1"/>
    </xf>
    <xf numFmtId="0" fontId="16" fillId="53" borderId="0" xfId="0" applyFont="1" applyFill="1" applyBorder="1" applyAlignment="1"/>
    <xf numFmtId="3" fontId="11" fillId="0" borderId="6" xfId="0" applyNumberFormat="1" applyFont="1" applyFill="1" applyBorder="1" applyAlignment="1">
      <alignment horizontal="center"/>
    </xf>
    <xf numFmtId="2" fontId="0" fillId="0" borderId="0" xfId="0" applyNumberFormat="1" applyFont="1" applyFill="1" applyBorder="1"/>
    <xf numFmtId="1" fontId="0" fillId="0" borderId="0" xfId="0" applyNumberFormat="1" applyFont="1" applyFill="1" applyBorder="1"/>
    <xf numFmtId="0" fontId="16" fillId="51" borderId="0" xfId="0" applyFont="1" applyFill="1" applyAlignment="1">
      <alignment horizontal="right" vertical="center"/>
    </xf>
    <xf numFmtId="0" fontId="56" fillId="54" borderId="47" xfId="0" applyFont="1" applyFill="1" applyBorder="1" applyAlignment="1" applyProtection="1">
      <alignment horizontal="right" vertical="center" wrapText="1"/>
    </xf>
    <xf numFmtId="3" fontId="16" fillId="51" borderId="46" xfId="4" applyNumberFormat="1" applyFont="1" applyFill="1" applyBorder="1" applyAlignment="1">
      <alignment horizontal="right" vertical="center"/>
    </xf>
    <xf numFmtId="2" fontId="16" fillId="51" borderId="46" xfId="4" applyNumberFormat="1" applyFont="1" applyFill="1" applyBorder="1" applyAlignment="1">
      <alignment horizontal="right" vertical="center"/>
    </xf>
    <xf numFmtId="1" fontId="16" fillId="51" borderId="46" xfId="4" applyNumberFormat="1" applyFont="1" applyFill="1" applyBorder="1" applyAlignment="1">
      <alignment horizontal="right" vertical="center" wrapText="1"/>
    </xf>
    <xf numFmtId="2" fontId="0" fillId="0" borderId="0" xfId="0" applyNumberFormat="1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37" fontId="12" fillId="0" borderId="0" xfId="0" applyNumberFormat="1" applyFont="1" applyFill="1" applyBorder="1"/>
    <xf numFmtId="37" fontId="17" fillId="7" borderId="75" xfId="1" applyNumberFormat="1" applyFont="1" applyFill="1" applyBorder="1"/>
    <xf numFmtId="37" fontId="17" fillId="7" borderId="74" xfId="1" applyNumberFormat="1" applyFont="1" applyFill="1" applyBorder="1"/>
    <xf numFmtId="37" fontId="17" fillId="7" borderId="0" xfId="1" applyNumberFormat="1" applyFont="1" applyFill="1" applyBorder="1"/>
    <xf numFmtId="37" fontId="17" fillId="7" borderId="15" xfId="1" applyNumberFormat="1" applyFont="1" applyFill="1" applyBorder="1"/>
    <xf numFmtId="37" fontId="12" fillId="12" borderId="8" xfId="0" applyNumberFormat="1" applyFont="1" applyFill="1" applyBorder="1"/>
    <xf numFmtId="37" fontId="12" fillId="12" borderId="75" xfId="0" applyNumberFormat="1" applyFont="1" applyFill="1" applyBorder="1"/>
    <xf numFmtId="37" fontId="12" fillId="12" borderId="14" xfId="0" applyNumberFormat="1" applyFont="1" applyFill="1" applyBorder="1"/>
    <xf numFmtId="37" fontId="12" fillId="12" borderId="15" xfId="0" applyNumberFormat="1" applyFont="1" applyFill="1" applyBorder="1"/>
    <xf numFmtId="37" fontId="12" fillId="12" borderId="11" xfId="0" applyNumberFormat="1" applyFont="1" applyFill="1" applyBorder="1"/>
    <xf numFmtId="37" fontId="12" fillId="12" borderId="74" xfId="0" applyNumberFormat="1" applyFont="1" applyFill="1" applyBorder="1"/>
    <xf numFmtId="37" fontId="17" fillId="7" borderId="13" xfId="1" applyNumberFormat="1" applyFont="1" applyFill="1" applyBorder="1"/>
    <xf numFmtId="0" fontId="21" fillId="0" borderId="15" xfId="0" applyFont="1" applyBorder="1"/>
    <xf numFmtId="0" fontId="16" fillId="0" borderId="0" xfId="17" applyFont="1" applyFill="1" applyBorder="1"/>
    <xf numFmtId="37" fontId="16" fillId="0" borderId="0" xfId="1" applyNumberFormat="1" applyFont="1" applyFill="1" applyBorder="1"/>
    <xf numFmtId="0" fontId="0" fillId="57" borderId="29" xfId="0" applyFill="1" applyBorder="1"/>
    <xf numFmtId="0" fontId="0" fillId="57" borderId="30" xfId="0" applyFill="1" applyBorder="1"/>
    <xf numFmtId="0" fontId="16" fillId="57" borderId="0" xfId="17" applyFont="1" applyFill="1" applyBorder="1" applyAlignment="1">
      <alignment horizontal="left"/>
    </xf>
    <xf numFmtId="1" fontId="11" fillId="10" borderId="1" xfId="0" applyNumberFormat="1" applyFont="1" applyFill="1" applyBorder="1" applyAlignment="1">
      <alignment horizontal="center"/>
    </xf>
    <xf numFmtId="3" fontId="11" fillId="10" borderId="30" xfId="21" applyNumberFormat="1" applyFont="1" applyFill="1" applyBorder="1" applyAlignment="1"/>
    <xf numFmtId="2" fontId="7" fillId="6" borderId="6" xfId="21" applyNumberFormat="1" applyFont="1" applyFill="1" applyBorder="1" applyAlignment="1"/>
    <xf numFmtId="9" fontId="11" fillId="10" borderId="26" xfId="21" applyNumberFormat="1" applyFont="1" applyFill="1" applyBorder="1" applyAlignment="1"/>
    <xf numFmtId="2" fontId="7" fillId="0" borderId="0" xfId="21" applyNumberFormat="1"/>
    <xf numFmtId="9" fontId="7" fillId="10" borderId="78" xfId="21" applyNumberFormat="1" applyFont="1" applyFill="1" applyBorder="1" applyAlignment="1">
      <alignment horizontal="center"/>
    </xf>
    <xf numFmtId="3" fontId="7" fillId="10" borderId="79" xfId="21" applyNumberFormat="1" applyFont="1" applyFill="1" applyBorder="1" applyAlignment="1">
      <alignment horizontal="center"/>
    </xf>
    <xf numFmtId="9" fontId="7" fillId="10" borderId="80" xfId="21" applyNumberFormat="1" applyFont="1" applyFill="1" applyBorder="1" applyAlignment="1">
      <alignment horizontal="center"/>
    </xf>
    <xf numFmtId="9" fontId="16" fillId="5" borderId="79" xfId="23" applyNumberFormat="1" applyFont="1" applyFill="1" applyBorder="1" applyAlignment="1">
      <alignment horizontal="center"/>
    </xf>
    <xf numFmtId="2" fontId="16" fillId="5" borderId="80" xfId="23" applyNumberFormat="1" applyFont="1" applyFill="1" applyBorder="1" applyAlignment="1">
      <alignment horizontal="center"/>
    </xf>
    <xf numFmtId="1" fontId="16" fillId="5" borderId="80" xfId="23" applyNumberFormat="1" applyFont="1" applyFill="1" applyBorder="1" applyAlignment="1">
      <alignment horizontal="center"/>
    </xf>
    <xf numFmtId="3" fontId="7" fillId="10" borderId="78" xfId="21" applyNumberFormat="1" applyFont="1" applyFill="1" applyBorder="1" applyAlignment="1">
      <alignment horizontal="center"/>
    </xf>
    <xf numFmtId="165" fontId="16" fillId="6" borderId="1" xfId="4" applyNumberFormat="1" applyFont="1" applyFill="1" applyBorder="1" applyAlignment="1">
      <alignment horizontal="center"/>
    </xf>
    <xf numFmtId="164" fontId="17" fillId="7" borderId="45" xfId="0" applyNumberFormat="1" applyFont="1" applyFill="1" applyBorder="1"/>
    <xf numFmtId="164" fontId="17" fillId="13" borderId="45" xfId="20" applyNumberFormat="1" applyFont="1" applyFill="1" applyBorder="1"/>
    <xf numFmtId="37" fontId="16" fillId="7" borderId="26" xfId="20" applyNumberFormat="1" applyFont="1" applyFill="1" applyBorder="1"/>
    <xf numFmtId="169" fontId="16" fillId="7" borderId="26" xfId="20" applyNumberFormat="1" applyFont="1" applyFill="1" applyBorder="1"/>
    <xf numFmtId="1" fontId="16" fillId="7" borderId="26" xfId="20" applyNumberFormat="1" applyFont="1" applyFill="1" applyBorder="1"/>
    <xf numFmtId="2" fontId="16" fillId="7" borderId="26" xfId="20" applyNumberFormat="1" applyFont="1" applyFill="1" applyBorder="1"/>
    <xf numFmtId="0" fontId="11" fillId="0" borderId="0" xfId="21" applyFont="1" applyFill="1" applyAlignment="1">
      <alignment horizontal="center"/>
    </xf>
    <xf numFmtId="0" fontId="0" fillId="0" borderId="0" xfId="21" applyFont="1" applyFill="1" applyBorder="1"/>
    <xf numFmtId="0" fontId="7" fillId="0" borderId="62" xfId="21" applyFont="1" applyFill="1" applyBorder="1"/>
    <xf numFmtId="165" fontId="16" fillId="0" borderId="0" xfId="4" applyNumberFormat="1" applyFont="1" applyFill="1" applyBorder="1" applyAlignment="1">
      <alignment horizontal="center"/>
    </xf>
    <xf numFmtId="0" fontId="7" fillId="0" borderId="15" xfId="21" applyBorder="1"/>
    <xf numFmtId="164" fontId="17" fillId="0" borderId="0" xfId="20" applyNumberFormat="1" applyFont="1" applyFill="1" applyBorder="1"/>
    <xf numFmtId="164" fontId="17" fillId="0" borderId="0" xfId="20" applyNumberFormat="1" applyFont="1" applyFill="1" applyBorder="1" applyAlignment="1">
      <alignment horizontal="center"/>
    </xf>
    <xf numFmtId="0" fontId="11" fillId="57" borderId="53" xfId="0" applyFont="1" applyFill="1" applyBorder="1" applyAlignment="1">
      <alignment horizontal="right" indent="2"/>
    </xf>
    <xf numFmtId="0" fontId="11" fillId="57" borderId="16" xfId="0" applyFont="1" applyFill="1" applyBorder="1" applyAlignment="1">
      <alignment horizontal="right" indent="2"/>
    </xf>
    <xf numFmtId="176" fontId="11" fillId="59" borderId="15" xfId="0" applyNumberFormat="1" applyFont="1" applyFill="1" applyBorder="1" applyAlignment="1">
      <alignment horizontal="right"/>
    </xf>
    <xf numFmtId="177" fontId="11" fillId="59" borderId="15" xfId="0" applyNumberFormat="1" applyFont="1" applyFill="1" applyBorder="1" applyAlignment="1">
      <alignment horizontal="right"/>
    </xf>
    <xf numFmtId="0" fontId="0" fillId="59" borderId="4" xfId="0" applyFill="1" applyBorder="1"/>
    <xf numFmtId="177" fontId="11" fillId="59" borderId="13" xfId="0" applyNumberFormat="1" applyFont="1" applyFill="1" applyBorder="1" applyAlignment="1">
      <alignment horizontal="right"/>
    </xf>
    <xf numFmtId="0" fontId="0" fillId="59" borderId="77" xfId="0" applyFill="1" applyBorder="1"/>
    <xf numFmtId="178" fontId="11" fillId="59" borderId="15" xfId="0" applyNumberFormat="1" applyFont="1" applyFill="1" applyBorder="1" applyAlignment="1">
      <alignment horizontal="right"/>
    </xf>
    <xf numFmtId="179" fontId="11" fillId="59" borderId="15" xfId="0" applyNumberFormat="1" applyFont="1" applyFill="1" applyBorder="1" applyAlignment="1">
      <alignment horizontal="right"/>
    </xf>
    <xf numFmtId="0" fontId="7" fillId="0" borderId="9" xfId="21" applyFill="1" applyBorder="1"/>
    <xf numFmtId="37" fontId="16" fillId="0" borderId="0" xfId="20" applyNumberFormat="1" applyFont="1" applyFill="1" applyBorder="1"/>
    <xf numFmtId="37" fontId="16" fillId="0" borderId="0" xfId="20" applyNumberFormat="1" applyFont="1" applyFill="1" applyBorder="1" applyAlignment="1">
      <alignment horizontal="center"/>
    </xf>
    <xf numFmtId="3" fontId="7" fillId="52" borderId="0" xfId="21" applyNumberFormat="1" applyFont="1" applyFill="1" applyBorder="1" applyAlignment="1"/>
    <xf numFmtId="3" fontId="7" fillId="0" borderId="0" xfId="21" applyNumberFormat="1" applyFont="1" applyFill="1" applyBorder="1" applyAlignment="1"/>
    <xf numFmtId="1" fontId="7" fillId="57" borderId="0" xfId="21" applyNumberFormat="1" applyFont="1" applyFill="1" applyBorder="1" applyAlignment="1">
      <alignment horizontal="center"/>
    </xf>
    <xf numFmtId="3" fontId="11" fillId="57" borderId="0" xfId="21" applyNumberFormat="1" applyFont="1" applyFill="1" applyBorder="1" applyAlignment="1">
      <alignment horizontal="center"/>
    </xf>
    <xf numFmtId="9" fontId="11" fillId="57" borderId="0" xfId="21" applyNumberFormat="1" applyFont="1" applyFill="1" applyBorder="1" applyAlignment="1">
      <alignment horizontal="center"/>
    </xf>
    <xf numFmtId="9" fontId="7" fillId="57" borderId="0" xfId="21" applyNumberFormat="1" applyFont="1" applyFill="1" applyBorder="1" applyAlignment="1">
      <alignment horizontal="center"/>
    </xf>
    <xf numFmtId="3" fontId="7" fillId="57" borderId="0" xfId="21" applyNumberFormat="1" applyFont="1" applyFill="1" applyBorder="1" applyAlignment="1">
      <alignment horizontal="center"/>
    </xf>
    <xf numFmtId="0" fontId="7" fillId="57" borderId="0" xfId="21" applyFont="1" applyFill="1"/>
    <xf numFmtId="0" fontId="22" fillId="57" borderId="0" xfId="21" applyFont="1" applyFill="1"/>
    <xf numFmtId="0" fontId="22" fillId="57" borderId="0" xfId="0" applyFont="1" applyFill="1"/>
    <xf numFmtId="0" fontId="16" fillId="57" borderId="0" xfId="21" applyFont="1" applyFill="1" applyBorder="1"/>
    <xf numFmtId="0" fontId="16" fillId="57" borderId="0" xfId="21" applyFont="1" applyFill="1" applyAlignment="1">
      <alignment horizontal="center" vertical="center"/>
    </xf>
    <xf numFmtId="0" fontId="30" fillId="57" borderId="0" xfId="21" applyFont="1" applyFill="1" applyBorder="1" applyAlignment="1">
      <alignment horizontal="left" wrapText="1"/>
    </xf>
    <xf numFmtId="164" fontId="17" fillId="7" borderId="8" xfId="0" applyNumberFormat="1" applyFont="1" applyFill="1" applyBorder="1" applyAlignment="1"/>
    <xf numFmtId="164" fontId="17" fillId="7" borderId="10" xfId="0" applyNumberFormat="1" applyFont="1" applyFill="1" applyBorder="1" applyAlignment="1"/>
    <xf numFmtId="164" fontId="17" fillId="7" borderId="14" xfId="0" applyNumberFormat="1" applyFont="1" applyFill="1" applyBorder="1" applyAlignment="1"/>
    <xf numFmtId="164" fontId="17" fillId="7" borderId="15" xfId="0" applyNumberFormat="1" applyFont="1" applyFill="1" applyBorder="1" applyAlignment="1"/>
    <xf numFmtId="164" fontId="17" fillId="7" borderId="11" xfId="0" applyNumberFormat="1" applyFont="1" applyFill="1" applyBorder="1" applyAlignment="1"/>
    <xf numFmtId="164" fontId="17" fillId="7" borderId="13" xfId="0" applyNumberFormat="1" applyFont="1" applyFill="1" applyBorder="1" applyAlignment="1"/>
    <xf numFmtId="0" fontId="11" fillId="57" borderId="8" xfId="0" applyFont="1" applyFill="1" applyBorder="1" applyAlignment="1">
      <alignment horizontal="right" indent="2"/>
    </xf>
    <xf numFmtId="0" fontId="11" fillId="57" borderId="14" xfId="0" applyFont="1" applyFill="1" applyBorder="1" applyAlignment="1">
      <alignment horizontal="right" indent="2"/>
    </xf>
    <xf numFmtId="0" fontId="11" fillId="57" borderId="11" xfId="0" applyFont="1" applyFill="1" applyBorder="1" applyAlignment="1">
      <alignment horizontal="right" indent="2"/>
    </xf>
    <xf numFmtId="0" fontId="11" fillId="0" borderId="9" xfId="21" applyFont="1" applyFill="1" applyBorder="1"/>
    <xf numFmtId="179" fontId="11" fillId="59" borderId="13" xfId="0" applyNumberFormat="1" applyFont="1" applyFill="1" applyBorder="1" applyAlignment="1">
      <alignment horizontal="right"/>
    </xf>
    <xf numFmtId="3" fontId="7" fillId="0" borderId="14" xfId="21" applyNumberFormat="1" applyBorder="1"/>
    <xf numFmtId="0" fontId="7" fillId="59" borderId="0" xfId="21" applyFill="1"/>
    <xf numFmtId="0" fontId="7" fillId="57" borderId="81" xfId="21" applyFill="1" applyBorder="1"/>
    <xf numFmtId="0" fontId="7" fillId="57" borderId="0" xfId="21" applyFill="1"/>
    <xf numFmtId="0" fontId="7" fillId="57" borderId="82" xfId="21" applyFill="1" applyBorder="1"/>
    <xf numFmtId="0" fontId="7" fillId="57" borderId="12" xfId="21" applyFill="1" applyBorder="1"/>
    <xf numFmtId="0" fontId="19" fillId="57" borderId="0" xfId="21" applyFont="1" applyFill="1"/>
    <xf numFmtId="0" fontId="0" fillId="57" borderId="0" xfId="21" applyFont="1" applyFill="1" applyBorder="1" applyAlignment="1"/>
    <xf numFmtId="0" fontId="0" fillId="57" borderId="0" xfId="21" applyFont="1" applyFill="1" applyBorder="1" applyAlignment="1">
      <alignment wrapText="1"/>
    </xf>
    <xf numFmtId="43" fontId="7" fillId="57" borderId="0" xfId="21" applyNumberFormat="1" applyFont="1" applyFill="1" applyBorder="1" applyAlignment="1">
      <alignment wrapText="1"/>
    </xf>
    <xf numFmtId="0" fontId="21" fillId="57" borderId="0" xfId="21" applyFont="1" applyFill="1"/>
    <xf numFmtId="0" fontId="21" fillId="57" borderId="0" xfId="21" applyFont="1" applyFill="1" applyBorder="1"/>
    <xf numFmtId="164" fontId="16" fillId="57" borderId="0" xfId="20" applyNumberFormat="1" applyFont="1" applyFill="1" applyBorder="1"/>
    <xf numFmtId="0" fontId="11" fillId="0" borderId="0" xfId="0" applyFont="1" applyFill="1" applyBorder="1" applyAlignment="1"/>
    <xf numFmtId="0" fontId="17" fillId="57" borderId="0" xfId="21" applyFont="1" applyFill="1" applyAlignment="1">
      <alignment horizontal="center" vertical="center"/>
    </xf>
    <xf numFmtId="0" fontId="17" fillId="57" borderId="0" xfId="21" applyFont="1" applyFill="1" applyAlignment="1">
      <alignment horizontal="center" vertical="center" wrapText="1"/>
    </xf>
    <xf numFmtId="0" fontId="7" fillId="57" borderId="0" xfId="21" applyFill="1" applyAlignment="1">
      <alignment wrapText="1"/>
    </xf>
    <xf numFmtId="0" fontId="21" fillId="57" borderId="0" xfId="21" applyFont="1" applyFill="1" applyAlignment="1">
      <alignment wrapText="1"/>
    </xf>
    <xf numFmtId="0" fontId="17" fillId="57" borderId="7" xfId="21" applyFont="1" applyFill="1" applyBorder="1" applyAlignment="1">
      <alignment horizontal="center" vertical="center" wrapText="1"/>
    </xf>
    <xf numFmtId="0" fontId="11" fillId="57" borderId="0" xfId="21" applyFont="1" applyFill="1"/>
    <xf numFmtId="0" fontId="7" fillId="53" borderId="0" xfId="21" applyFill="1"/>
    <xf numFmtId="0" fontId="9" fillId="53" borderId="0" xfId="2" applyFont="1" applyFill="1" applyAlignment="1">
      <alignment horizontal="center" vertical="center" wrapText="1"/>
    </xf>
    <xf numFmtId="0" fontId="23" fillId="53" borderId="0" xfId="2" applyFont="1" applyFill="1" applyAlignment="1">
      <alignment horizontal="center" vertical="center"/>
    </xf>
    <xf numFmtId="0" fontId="21" fillId="53" borderId="0" xfId="21" applyFont="1" applyFill="1"/>
    <xf numFmtId="0" fontId="7" fillId="53" borderId="0" xfId="21" applyFill="1" applyBorder="1"/>
    <xf numFmtId="0" fontId="7" fillId="53" borderId="0" xfId="21" applyFont="1" applyFill="1"/>
    <xf numFmtId="0" fontId="8" fillId="53" borderId="0" xfId="21" applyFont="1" applyFill="1" applyBorder="1"/>
    <xf numFmtId="0" fontId="8" fillId="53" borderId="0" xfId="21" applyFont="1" applyFill="1" applyBorder="1" applyAlignment="1">
      <alignment horizontal="center"/>
    </xf>
    <xf numFmtId="3" fontId="11" fillId="53" borderId="0" xfId="21" applyNumberFormat="1" applyFont="1" applyFill="1" applyBorder="1" applyAlignment="1">
      <alignment horizontal="center"/>
    </xf>
    <xf numFmtId="0" fontId="7" fillId="53" borderId="0" xfId="21" applyFill="1" applyAlignment="1">
      <alignment horizontal="right"/>
    </xf>
    <xf numFmtId="0" fontId="11" fillId="53" borderId="0" xfId="21" applyFont="1" applyFill="1"/>
    <xf numFmtId="0" fontId="7" fillId="53" borderId="0" xfId="21" applyFont="1" applyFill="1" applyAlignment="1">
      <alignment horizontal="right"/>
    </xf>
    <xf numFmtId="0" fontId="7" fillId="53" borderId="0" xfId="21" applyFill="1" applyBorder="1" applyAlignment="1">
      <alignment horizontal="center"/>
    </xf>
    <xf numFmtId="9" fontId="11" fillId="53" borderId="0" xfId="21" applyNumberFormat="1" applyFont="1" applyFill="1" applyBorder="1" applyAlignment="1">
      <alignment horizontal="center"/>
    </xf>
    <xf numFmtId="0" fontId="0" fillId="53" borderId="0" xfId="21" applyFont="1" applyFill="1"/>
    <xf numFmtId="3" fontId="17" fillId="53" borderId="0" xfId="21" applyNumberFormat="1" applyFont="1" applyFill="1" applyBorder="1" applyAlignment="1"/>
    <xf numFmtId="0" fontId="7" fillId="53" borderId="0" xfId="21" applyFont="1" applyFill="1" applyBorder="1"/>
    <xf numFmtId="0" fontId="22" fillId="53" borderId="0" xfId="21" applyFont="1" applyFill="1" applyBorder="1" applyAlignment="1">
      <alignment vertical="center"/>
    </xf>
    <xf numFmtId="0" fontId="7" fillId="53" borderId="0" xfId="21" applyFont="1" applyFill="1" applyAlignment="1">
      <alignment horizontal="center" vertical="center"/>
    </xf>
    <xf numFmtId="0" fontId="17" fillId="53" borderId="0" xfId="21" applyFont="1" applyFill="1" applyAlignment="1">
      <alignment horizontal="center"/>
    </xf>
    <xf numFmtId="0" fontId="17" fillId="53" borderId="0" xfId="21" applyFont="1" applyFill="1" applyAlignment="1">
      <alignment horizontal="center" vertical="center" wrapText="1"/>
    </xf>
    <xf numFmtId="0" fontId="17" fillId="53" borderId="0" xfId="21" applyFont="1" applyFill="1"/>
    <xf numFmtId="1" fontId="17" fillId="53" borderId="0" xfId="23" applyNumberFormat="1" applyFont="1" applyFill="1" applyBorder="1" applyAlignment="1">
      <alignment horizontal="center"/>
    </xf>
    <xf numFmtId="0" fontId="17" fillId="53" borderId="0" xfId="21" applyFont="1" applyFill="1" applyBorder="1"/>
    <xf numFmtId="0" fontId="16" fillId="53" borderId="0" xfId="21" applyFont="1" applyFill="1"/>
    <xf numFmtId="9" fontId="17" fillId="53" borderId="0" xfId="23" applyNumberFormat="1" applyFont="1" applyFill="1" applyBorder="1" applyAlignment="1">
      <alignment horizontal="center"/>
    </xf>
    <xf numFmtId="0" fontId="16" fillId="53" borderId="0" xfId="21" applyFont="1" applyFill="1" applyBorder="1"/>
    <xf numFmtId="0" fontId="21" fillId="53" borderId="0" xfId="21" applyFont="1" applyFill="1" applyAlignment="1">
      <alignment horizontal="right"/>
    </xf>
    <xf numFmtId="0" fontId="7" fillId="53" borderId="0" xfId="21" applyFont="1" applyFill="1" applyAlignment="1">
      <alignment wrapText="1"/>
    </xf>
    <xf numFmtId="0" fontId="0" fillId="53" borderId="0" xfId="22" applyFont="1" applyFill="1" applyBorder="1" applyAlignment="1">
      <alignment horizontal="left" vertical="center" wrapText="1"/>
    </xf>
    <xf numFmtId="0" fontId="21" fillId="53" borderId="0" xfId="21" applyFont="1" applyFill="1" applyAlignment="1">
      <alignment horizontal="center"/>
    </xf>
    <xf numFmtId="164" fontId="16" fillId="53" borderId="0" xfId="20" applyNumberFormat="1" applyFont="1" applyFill="1" applyBorder="1"/>
    <xf numFmtId="0" fontId="7" fillId="53" borderId="0" xfId="21" applyFont="1" applyFill="1" applyBorder="1" applyAlignment="1">
      <alignment wrapText="1"/>
    </xf>
    <xf numFmtId="0" fontId="68" fillId="53" borderId="0" xfId="21" applyFont="1" applyFill="1"/>
    <xf numFmtId="166" fontId="16" fillId="51" borderId="46" xfId="4" applyNumberFormat="1" applyFont="1" applyFill="1" applyBorder="1" applyAlignment="1">
      <alignment horizontal="right" vertical="center"/>
    </xf>
    <xf numFmtId="0" fontId="0" fillId="50" borderId="46" xfId="0" applyFill="1" applyBorder="1" applyAlignment="1">
      <alignment vertical="center" wrapText="1"/>
    </xf>
    <xf numFmtId="170" fontId="11" fillId="0" borderId="0" xfId="0" applyNumberFormat="1" applyFont="1" applyFill="1" applyBorder="1" applyAlignment="1">
      <alignment horizontal="center"/>
    </xf>
    <xf numFmtId="166" fontId="11" fillId="0" borderId="0" xfId="0" applyNumberFormat="1" applyFont="1" applyFill="1" applyBorder="1" applyAlignment="1">
      <alignment horizontal="center"/>
    </xf>
    <xf numFmtId="165" fontId="13" fillId="0" borderId="0" xfId="4" applyNumberFormat="1" applyFont="1" applyFill="1" applyBorder="1" applyAlignment="1">
      <alignment horizontal="right" vertical="center"/>
    </xf>
    <xf numFmtId="1" fontId="13" fillId="0" borderId="0" xfId="4" applyNumberFormat="1" applyFont="1" applyFill="1" applyBorder="1" applyAlignment="1">
      <alignment horizontal="right" vertical="center"/>
    </xf>
    <xf numFmtId="2" fontId="13" fillId="0" borderId="0" xfId="4" applyNumberFormat="1" applyFont="1" applyFill="1" applyBorder="1" applyAlignment="1">
      <alignment horizontal="right" vertical="center"/>
    </xf>
    <xf numFmtId="164" fontId="16" fillId="0" borderId="0" xfId="1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wrapText="1"/>
    </xf>
    <xf numFmtId="169" fontId="13" fillId="0" borderId="0" xfId="1" applyNumberFormat="1" applyFont="1" applyFill="1" applyBorder="1"/>
    <xf numFmtId="43" fontId="13" fillId="0" borderId="0" xfId="1" applyNumberFormat="1" applyFont="1" applyFill="1" applyBorder="1"/>
    <xf numFmtId="0" fontId="19" fillId="0" borderId="0" xfId="0" applyFont="1" applyFill="1"/>
    <xf numFmtId="0" fontId="21" fillId="0" borderId="0" xfId="0" applyFont="1" applyFill="1" applyAlignment="1">
      <alignment horizontal="center"/>
    </xf>
    <xf numFmtId="170" fontId="11" fillId="57" borderId="0" xfId="0" applyNumberFormat="1" applyFont="1" applyFill="1" applyBorder="1" applyAlignment="1">
      <alignment horizontal="center"/>
    </xf>
    <xf numFmtId="0" fontId="11" fillId="57" borderId="0" xfId="0" applyFont="1" applyFill="1" applyBorder="1" applyAlignment="1">
      <alignment horizontal="center"/>
    </xf>
    <xf numFmtId="0" fontId="11" fillId="57" borderId="7" xfId="0" applyFont="1" applyFill="1" applyBorder="1" applyAlignment="1">
      <alignment horizontal="center"/>
    </xf>
    <xf numFmtId="0" fontId="0" fillId="57" borderId="0" xfId="0" applyFill="1" applyBorder="1" applyAlignment="1">
      <alignment horizontal="left" vertical="center" wrapText="1"/>
    </xf>
    <xf numFmtId="1" fontId="13" fillId="57" borderId="0" xfId="4" applyNumberFormat="1" applyFont="1" applyFill="1" applyBorder="1" applyAlignment="1">
      <alignment horizontal="right" vertical="center"/>
    </xf>
    <xf numFmtId="0" fontId="0" fillId="57" borderId="0" xfId="0" applyFill="1" applyBorder="1" applyAlignment="1">
      <alignment vertical="center"/>
    </xf>
    <xf numFmtId="165" fontId="13" fillId="57" borderId="0" xfId="4" applyNumberFormat="1" applyFont="1" applyFill="1" applyBorder="1" applyAlignment="1">
      <alignment horizontal="right" vertical="center"/>
    </xf>
    <xf numFmtId="0" fontId="0" fillId="57" borderId="0" xfId="0" applyFill="1" applyBorder="1" applyAlignment="1">
      <alignment wrapText="1"/>
    </xf>
    <xf numFmtId="164" fontId="13" fillId="0" borderId="6" xfId="0" applyNumberFormat="1" applyFont="1" applyFill="1" applyBorder="1"/>
    <xf numFmtId="0" fontId="67" fillId="55" borderId="0" xfId="0" applyFont="1" applyFill="1" applyBorder="1" applyAlignment="1">
      <alignment wrapText="1"/>
    </xf>
    <xf numFmtId="176" fontId="11" fillId="59" borderId="10" xfId="0" applyNumberFormat="1" applyFont="1" applyFill="1" applyBorder="1" applyAlignment="1">
      <alignment horizontal="right"/>
    </xf>
    <xf numFmtId="164" fontId="12" fillId="7" borderId="10" xfId="0" applyNumberFormat="1" applyFont="1" applyFill="1" applyBorder="1"/>
    <xf numFmtId="164" fontId="12" fillId="7" borderId="15" xfId="0" applyNumberFormat="1" applyFont="1" applyFill="1" applyBorder="1"/>
    <xf numFmtId="164" fontId="12" fillId="7" borderId="13" xfId="0" applyNumberFormat="1" applyFont="1" applyFill="1" applyBorder="1"/>
    <xf numFmtId="0" fontId="0" fillId="59" borderId="8" xfId="0" applyFill="1" applyBorder="1"/>
    <xf numFmtId="0" fontId="0" fillId="59" borderId="14" xfId="0" applyFill="1" applyBorder="1"/>
    <xf numFmtId="0" fontId="0" fillId="59" borderId="11" xfId="0" applyFill="1" applyBorder="1"/>
    <xf numFmtId="176" fontId="11" fillId="59" borderId="13" xfId="0" applyNumberFormat="1" applyFont="1" applyFill="1" applyBorder="1" applyAlignment="1">
      <alignment horizontal="right"/>
    </xf>
    <xf numFmtId="0" fontId="16" fillId="53" borderId="0" xfId="0" applyFont="1" applyFill="1" applyAlignment="1">
      <alignment wrapText="1"/>
    </xf>
    <xf numFmtId="0" fontId="16" fillId="53" borderId="0" xfId="0" applyFont="1" applyFill="1" applyBorder="1" applyAlignment="1">
      <alignment vertical="center"/>
    </xf>
    <xf numFmtId="0" fontId="30" fillId="53" borderId="0" xfId="0" applyFont="1" applyFill="1" applyBorder="1" applyAlignment="1">
      <alignment vertical="center"/>
    </xf>
    <xf numFmtId="0" fontId="30" fillId="53" borderId="0" xfId="0" applyFont="1" applyFill="1"/>
    <xf numFmtId="0" fontId="22" fillId="53" borderId="0" xfId="0" applyFont="1" applyFill="1" applyAlignment="1">
      <alignment vertical="center"/>
    </xf>
    <xf numFmtId="0" fontId="16" fillId="53" borderId="0" xfId="0" applyFont="1" applyFill="1" applyAlignment="1">
      <alignment vertical="center"/>
    </xf>
    <xf numFmtId="0" fontId="22" fillId="53" borderId="0" xfId="0" applyNumberFormat="1" applyFont="1" applyFill="1" applyAlignment="1">
      <alignment vertical="center"/>
    </xf>
    <xf numFmtId="0" fontId="22" fillId="53" borderId="0" xfId="0" applyNumberFormat="1" applyFont="1" applyFill="1" applyAlignment="1">
      <alignment vertical="center" wrapText="1"/>
    </xf>
    <xf numFmtId="164" fontId="12" fillId="13" borderId="53" xfId="0" applyNumberFormat="1" applyFont="1" applyFill="1" applyBorder="1"/>
    <xf numFmtId="164" fontId="12" fillId="13" borderId="16" xfId="0" applyNumberFormat="1" applyFont="1" applyFill="1" applyBorder="1"/>
    <xf numFmtId="164" fontId="12" fillId="13" borderId="73" xfId="0" applyNumberFormat="1" applyFont="1" applyFill="1" applyBorder="1"/>
    <xf numFmtId="164" fontId="12" fillId="13" borderId="17" xfId="0" applyNumberFormat="1" applyFont="1" applyFill="1" applyBorder="1"/>
    <xf numFmtId="37" fontId="17" fillId="59" borderId="75" xfId="0" applyNumberFormat="1" applyFont="1" applyFill="1" applyBorder="1" applyAlignment="1">
      <alignment horizontal="right"/>
    </xf>
    <xf numFmtId="37" fontId="17" fillId="59" borderId="17" xfId="0" applyNumberFormat="1" applyFont="1" applyFill="1" applyBorder="1" applyAlignment="1">
      <alignment horizontal="right"/>
    </xf>
    <xf numFmtId="37" fontId="17" fillId="59" borderId="74" xfId="0" applyNumberFormat="1" applyFont="1" applyFill="1" applyBorder="1" applyAlignment="1">
      <alignment horizontal="right"/>
    </xf>
    <xf numFmtId="0" fontId="0" fillId="6" borderId="1" xfId="0" applyFont="1" applyFill="1" applyBorder="1" applyAlignment="1">
      <alignment horizontal="center"/>
    </xf>
    <xf numFmtId="1" fontId="16" fillId="6" borderId="1" xfId="1" applyNumberFormat="1" applyFont="1" applyFill="1" applyBorder="1" applyAlignment="1">
      <alignment horizontal="center"/>
    </xf>
    <xf numFmtId="1" fontId="16" fillId="7" borderId="1" xfId="1" applyNumberFormat="1" applyFont="1" applyFill="1" applyBorder="1" applyAlignment="1">
      <alignment horizontal="center"/>
    </xf>
    <xf numFmtId="3" fontId="16" fillId="7" borderId="1" xfId="1" applyNumberFormat="1" applyFont="1" applyFill="1" applyBorder="1" applyAlignment="1">
      <alignment horizontal="center"/>
    </xf>
    <xf numFmtId="37" fontId="11" fillId="59" borderId="15" xfId="174" applyNumberFormat="1" applyFont="1" applyFill="1" applyBorder="1" applyAlignment="1">
      <alignment horizontal="right"/>
    </xf>
    <xf numFmtId="37" fontId="11" fillId="59" borderId="13" xfId="174" applyNumberFormat="1" applyFont="1" applyFill="1" applyBorder="1" applyAlignment="1">
      <alignment horizontal="right"/>
    </xf>
    <xf numFmtId="37" fontId="11" fillId="59" borderId="10" xfId="174" applyNumberFormat="1" applyFont="1" applyFill="1" applyBorder="1" applyAlignment="1">
      <alignment horizontal="right"/>
    </xf>
    <xf numFmtId="37" fontId="11" fillId="59" borderId="16" xfId="174" applyNumberFormat="1" applyFont="1" applyFill="1" applyBorder="1" applyAlignment="1">
      <alignment horizontal="right"/>
    </xf>
    <xf numFmtId="176" fontId="11" fillId="59" borderId="10" xfId="174" applyNumberFormat="1" applyFont="1" applyFill="1" applyBorder="1" applyAlignment="1">
      <alignment horizontal="right"/>
    </xf>
    <xf numFmtId="0" fontId="0" fillId="59" borderId="76" xfId="0" applyFill="1" applyBorder="1"/>
    <xf numFmtId="0" fontId="0" fillId="59" borderId="0" xfId="0" applyFill="1" applyBorder="1"/>
    <xf numFmtId="164" fontId="17" fillId="7" borderId="74" xfId="1" applyNumberFormat="1" applyFont="1" applyFill="1" applyBorder="1"/>
    <xf numFmtId="164" fontId="17" fillId="7" borderId="53" xfId="1" applyNumberFormat="1" applyFont="1" applyFill="1" applyBorder="1"/>
    <xf numFmtId="164" fontId="17" fillId="7" borderId="73" xfId="1" applyNumberFormat="1" applyFont="1" applyFill="1" applyBorder="1"/>
    <xf numFmtId="164" fontId="17" fillId="7" borderId="17" xfId="1" applyNumberFormat="1" applyFont="1" applyFill="1" applyBorder="1"/>
    <xf numFmtId="169" fontId="16" fillId="7" borderId="1" xfId="1" applyNumberFormat="1" applyFont="1" applyFill="1" applyBorder="1" applyAlignment="1">
      <alignment horizontal="center"/>
    </xf>
    <xf numFmtId="164" fontId="16" fillId="7" borderId="5" xfId="1" applyNumberFormat="1" applyFont="1" applyFill="1" applyBorder="1" applyAlignment="1">
      <alignment horizontal="center"/>
    </xf>
    <xf numFmtId="164" fontId="17" fillId="7" borderId="10" xfId="0" applyNumberFormat="1" applyFont="1" applyFill="1" applyBorder="1"/>
    <xf numFmtId="164" fontId="17" fillId="7" borderId="15" xfId="0" applyNumberFormat="1" applyFont="1" applyFill="1" applyBorder="1"/>
    <xf numFmtId="164" fontId="17" fillId="7" borderId="53" xfId="0" applyNumberFormat="1" applyFont="1" applyFill="1" applyBorder="1"/>
    <xf numFmtId="164" fontId="17" fillId="7" borderId="16" xfId="0" applyNumberFormat="1" applyFont="1" applyFill="1" applyBorder="1"/>
    <xf numFmtId="164" fontId="17" fillId="7" borderId="17" xfId="0" applyNumberFormat="1" applyFont="1" applyFill="1" applyBorder="1"/>
    <xf numFmtId="164" fontId="17" fillId="7" borderId="75" xfId="0" applyNumberFormat="1" applyFont="1" applyFill="1" applyBorder="1" applyAlignment="1">
      <alignment horizontal="right"/>
    </xf>
    <xf numFmtId="164" fontId="17" fillId="7" borderId="73" xfId="0" applyNumberFormat="1" applyFont="1" applyFill="1" applyBorder="1" applyAlignment="1">
      <alignment horizontal="right"/>
    </xf>
    <xf numFmtId="167" fontId="11" fillId="59" borderId="15" xfId="174" applyNumberFormat="1" applyFont="1" applyFill="1" applyBorder="1" applyAlignment="1">
      <alignment horizontal="right"/>
    </xf>
    <xf numFmtId="164" fontId="11" fillId="59" borderId="10" xfId="0" applyNumberFormat="1" applyFont="1" applyFill="1" applyBorder="1" applyAlignment="1">
      <alignment horizontal="center"/>
    </xf>
    <xf numFmtId="164" fontId="11" fillId="59" borderId="15" xfId="0" applyNumberFormat="1" applyFont="1" applyFill="1" applyBorder="1" applyAlignment="1">
      <alignment horizontal="center"/>
    </xf>
    <xf numFmtId="164" fontId="11" fillId="59" borderId="13" xfId="0" applyNumberFormat="1" applyFont="1" applyFill="1" applyBorder="1" applyAlignment="1">
      <alignment horizontal="center"/>
    </xf>
    <xf numFmtId="3" fontId="0" fillId="59" borderId="1" xfId="0" applyNumberFormat="1" applyFont="1" applyFill="1" applyBorder="1" applyAlignment="1">
      <alignment horizontal="center" vertical="center"/>
    </xf>
    <xf numFmtId="3" fontId="16" fillId="59" borderId="1" xfId="0" applyNumberFormat="1" applyFont="1" applyFill="1" applyBorder="1" applyAlignment="1">
      <alignment horizontal="center" vertical="center"/>
    </xf>
    <xf numFmtId="164" fontId="13" fillId="7" borderId="5" xfId="0" applyNumberFormat="1" applyFont="1" applyFill="1" applyBorder="1" applyAlignment="1">
      <alignment horizontal="right"/>
    </xf>
    <xf numFmtId="0" fontId="7" fillId="0" borderId="10" xfId="174" applyBorder="1"/>
    <xf numFmtId="0" fontId="7" fillId="0" borderId="15" xfId="174" applyBorder="1"/>
    <xf numFmtId="0" fontId="7" fillId="0" borderId="13" xfId="174" applyBorder="1"/>
    <xf numFmtId="0" fontId="18" fillId="50" borderId="3" xfId="27" applyFill="1" applyBorder="1" applyAlignment="1">
      <alignment vertical="center" shrinkToFit="1"/>
    </xf>
    <xf numFmtId="177" fontId="11" fillId="59" borderId="15" xfId="174" applyNumberFormat="1" applyFont="1" applyFill="1" applyBorder="1" applyAlignment="1">
      <alignment horizontal="right"/>
    </xf>
    <xf numFmtId="0" fontId="0" fillId="57" borderId="0" xfId="0" applyFont="1" applyFill="1" applyAlignment="1">
      <alignment horizontal="left"/>
    </xf>
    <xf numFmtId="0" fontId="11" fillId="0" borderId="0" xfId="0" applyFont="1" applyFill="1" applyBorder="1" applyAlignment="1">
      <alignment horizontal="center"/>
    </xf>
    <xf numFmtId="10" fontId="7" fillId="7" borderId="1" xfId="8" applyNumberFormat="1" applyFont="1" applyFill="1" applyBorder="1" applyAlignment="1">
      <alignment horizontal="center" vertical="center"/>
    </xf>
    <xf numFmtId="9" fontId="16" fillId="6" borderId="1" xfId="4" applyNumberFormat="1" applyFont="1" applyFill="1" applyBorder="1" applyAlignment="1">
      <alignment horizontal="right"/>
    </xf>
    <xf numFmtId="0" fontId="0" fillId="50" borderId="4" xfId="0" applyFill="1" applyBorder="1" applyAlignment="1">
      <alignment vertical="center"/>
    </xf>
    <xf numFmtId="0" fontId="17" fillId="0" borderId="0" xfId="0" applyFont="1" applyFill="1" applyAlignment="1">
      <alignment horizontal="center"/>
    </xf>
    <xf numFmtId="9" fontId="16" fillId="0" borderId="0" xfId="4" applyNumberFormat="1" applyFont="1" applyFill="1" applyBorder="1" applyAlignment="1">
      <alignment horizontal="right"/>
    </xf>
    <xf numFmtId="2" fontId="13" fillId="0" borderId="0" xfId="4" applyNumberFormat="1" applyFont="1" applyFill="1" applyBorder="1" applyAlignment="1">
      <alignment horizontal="right"/>
    </xf>
    <xf numFmtId="3" fontId="17" fillId="7" borderId="63" xfId="1" applyNumberFormat="1" applyFont="1" applyFill="1" applyBorder="1"/>
    <xf numFmtId="3" fontId="17" fillId="7" borderId="21" xfId="1" applyNumberFormat="1" applyFont="1" applyFill="1" applyBorder="1"/>
    <xf numFmtId="3" fontId="17" fillId="7" borderId="10" xfId="1" applyNumberFormat="1" applyFont="1" applyFill="1" applyBorder="1"/>
    <xf numFmtId="3" fontId="17" fillId="7" borderId="15" xfId="1" applyNumberFormat="1" applyFont="1" applyFill="1" applyBorder="1"/>
    <xf numFmtId="3" fontId="17" fillId="7" borderId="18" xfId="1" applyNumberFormat="1" applyFont="1" applyFill="1" applyBorder="1"/>
    <xf numFmtId="43" fontId="68" fillId="53" borderId="0" xfId="0" quotePrefix="1" applyNumberFormat="1" applyFont="1" applyFill="1"/>
    <xf numFmtId="177" fontId="11" fillId="59" borderId="15" xfId="174" applyNumberFormat="1" applyFont="1" applyFill="1" applyBorder="1" applyAlignment="1">
      <alignment horizontal="right"/>
    </xf>
    <xf numFmtId="176" fontId="11" fillId="59" borderId="15" xfId="174" applyNumberFormat="1" applyFont="1" applyFill="1" applyBorder="1" applyAlignment="1">
      <alignment horizontal="right"/>
    </xf>
    <xf numFmtId="0" fontId="11" fillId="0" borderId="0" xfId="0" applyFont="1" applyFill="1" applyBorder="1" applyAlignment="1">
      <alignment horizontal="center"/>
    </xf>
    <xf numFmtId="3" fontId="11" fillId="5" borderId="1" xfId="0" applyNumberFormat="1" applyFont="1" applyFill="1" applyBorder="1" applyAlignment="1">
      <alignment horizontal="center" vertical="center" wrapText="1"/>
    </xf>
    <xf numFmtId="0" fontId="59" fillId="57" borderId="0" xfId="0" applyFont="1" applyFill="1" applyAlignment="1">
      <alignment horizontal="left" vertical="center" wrapText="1" indent="2"/>
    </xf>
    <xf numFmtId="0" fontId="11" fillId="5" borderId="5" xfId="0" applyNumberFormat="1" applyFont="1" applyFill="1" applyBorder="1" applyAlignment="1">
      <alignment horizontal="center" vertical="center"/>
    </xf>
    <xf numFmtId="170" fontId="11" fillId="5" borderId="5" xfId="0" applyNumberFormat="1" applyFont="1" applyFill="1" applyBorder="1" applyAlignment="1">
      <alignment horizontal="center" vertical="center"/>
    </xf>
    <xf numFmtId="0" fontId="59" fillId="57" borderId="0" xfId="0" applyFont="1" applyFill="1" applyAlignment="1">
      <alignment horizontal="left" vertical="center" indent="2"/>
    </xf>
    <xf numFmtId="0" fontId="0" fillId="57" borderId="0" xfId="0" applyFill="1" applyAlignment="1">
      <alignment vertical="center"/>
    </xf>
    <xf numFmtId="166" fontId="11" fillId="5" borderId="1" xfId="0" applyNumberFormat="1" applyFont="1" applyFill="1" applyBorder="1" applyAlignment="1">
      <alignment horizontal="center" vertical="center"/>
    </xf>
    <xf numFmtId="170" fontId="0" fillId="18" borderId="1" xfId="0" applyNumberFormat="1" applyFont="1" applyFill="1" applyBorder="1" applyAlignment="1">
      <alignment horizontal="center"/>
    </xf>
    <xf numFmtId="37" fontId="16" fillId="6" borderId="1" xfId="1" applyNumberFormat="1" applyFont="1" applyFill="1" applyBorder="1" applyAlignment="1">
      <alignment horizontal="right"/>
    </xf>
    <xf numFmtId="9" fontId="17" fillId="10" borderId="1" xfId="0" applyNumberFormat="1" applyFont="1" applyFill="1" applyBorder="1" applyAlignment="1">
      <alignment horizontal="center"/>
    </xf>
    <xf numFmtId="0" fontId="0" fillId="0" borderId="0" xfId="0"/>
    <xf numFmtId="171" fontId="16" fillId="59" borderId="1" xfId="1" applyNumberFormat="1" applyFont="1" applyFill="1" applyBorder="1" applyAlignment="1">
      <alignment horizontal="right"/>
    </xf>
    <xf numFmtId="9" fontId="0" fillId="57" borderId="0" xfId="4" applyFont="1" applyFill="1"/>
    <xf numFmtId="165" fontId="16" fillId="18" borderId="1" xfId="4" applyNumberFormat="1" applyFont="1" applyFill="1" applyBorder="1" applyAlignment="1">
      <alignment horizontal="right"/>
    </xf>
    <xf numFmtId="4" fontId="16" fillId="18" borderId="1" xfId="1" applyNumberFormat="1" applyFont="1" applyFill="1" applyBorder="1"/>
    <xf numFmtId="2" fontId="16" fillId="18" borderId="26" xfId="4" applyNumberFormat="1" applyFont="1" applyFill="1" applyBorder="1" applyAlignment="1">
      <alignment horizontal="right"/>
    </xf>
    <xf numFmtId="171" fontId="16" fillId="0" borderId="0" xfId="1" applyNumberFormat="1" applyFont="1" applyFill="1" applyBorder="1" applyAlignment="1">
      <alignment horizontal="right"/>
    </xf>
    <xf numFmtId="3" fontId="17" fillId="7" borderId="8" xfId="1" applyNumberFormat="1" applyFont="1" applyFill="1" applyBorder="1"/>
    <xf numFmtId="3" fontId="17" fillId="7" borderId="9" xfId="1" applyNumberFormat="1" applyFont="1" applyFill="1" applyBorder="1"/>
    <xf numFmtId="3" fontId="17" fillId="7" borderId="11" xfId="1" applyNumberFormat="1" applyFont="1" applyFill="1" applyBorder="1"/>
    <xf numFmtId="3" fontId="17" fillId="7" borderId="0" xfId="1" applyNumberFormat="1" applyFont="1" applyFill="1" applyBorder="1"/>
    <xf numFmtId="3" fontId="17" fillId="7" borderId="14" xfId="1" applyNumberFormat="1" applyFont="1" applyFill="1" applyBorder="1"/>
    <xf numFmtId="3" fontId="17" fillId="7" borderId="12" xfId="1" applyNumberFormat="1" applyFont="1" applyFill="1" applyBorder="1"/>
    <xf numFmtId="3" fontId="17" fillId="7" borderId="13" xfId="1" applyNumberFormat="1" applyFont="1" applyFill="1" applyBorder="1"/>
    <xf numFmtId="165" fontId="16" fillId="6" borderId="1" xfId="4" applyNumberFormat="1" applyFont="1" applyFill="1" applyBorder="1" applyAlignment="1">
      <alignment horizontal="center"/>
    </xf>
    <xf numFmtId="1" fontId="17" fillId="5" borderId="1" xfId="0" applyNumberFormat="1" applyFont="1" applyFill="1" applyBorder="1" applyAlignment="1">
      <alignment horizontal="center" vertical="center"/>
    </xf>
    <xf numFmtId="0" fontId="16" fillId="57" borderId="0" xfId="0" applyFont="1" applyFill="1" applyBorder="1" applyAlignment="1"/>
    <xf numFmtId="0" fontId="0" fillId="0" borderId="0" xfId="4" applyNumberFormat="1" applyFont="1" applyFill="1" applyBorder="1" applyAlignment="1">
      <alignment horizontal="center"/>
    </xf>
    <xf numFmtId="0" fontId="67" fillId="52" borderId="0" xfId="0" applyFont="1" applyFill="1" applyBorder="1" applyAlignment="1">
      <alignment horizontal="center" wrapText="1"/>
    </xf>
    <xf numFmtId="4" fontId="16" fillId="7" borderId="1" xfId="1" applyNumberFormat="1" applyFont="1" applyFill="1" applyBorder="1" applyAlignment="1">
      <alignment horizontal="right"/>
    </xf>
    <xf numFmtId="9" fontId="16" fillId="5" borderId="26" xfId="8" applyFont="1" applyFill="1" applyBorder="1" applyAlignment="1">
      <alignment horizontal="center" vertical="center"/>
    </xf>
    <xf numFmtId="9" fontId="16" fillId="5" borderId="1" xfId="8" applyFont="1" applyFill="1" applyBorder="1" applyAlignment="1">
      <alignment horizontal="center" vertical="center"/>
    </xf>
    <xf numFmtId="7" fontId="7" fillId="5" borderId="26" xfId="12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37" fontId="17" fillId="13" borderId="74" xfId="0" applyNumberFormat="1" applyFont="1" applyFill="1" applyBorder="1" applyAlignment="1">
      <alignment horizontal="center"/>
    </xf>
    <xf numFmtId="37" fontId="12" fillId="7" borderId="75" xfId="1" applyNumberFormat="1" applyFont="1" applyFill="1" applyBorder="1"/>
    <xf numFmtId="37" fontId="12" fillId="7" borderId="16" xfId="1" applyNumberFormat="1" applyFont="1" applyFill="1" applyBorder="1"/>
    <xf numFmtId="37" fontId="12" fillId="7" borderId="73" xfId="1" applyNumberFormat="1" applyFont="1" applyFill="1" applyBorder="1"/>
    <xf numFmtId="37" fontId="12" fillId="7" borderId="17" xfId="1" applyNumberFormat="1" applyFont="1" applyFill="1" applyBorder="1"/>
    <xf numFmtId="164" fontId="12" fillId="7" borderId="75" xfId="0" applyNumberFormat="1" applyFont="1" applyFill="1" applyBorder="1" applyAlignment="1">
      <alignment horizontal="right"/>
    </xf>
    <xf numFmtId="164" fontId="12" fillId="7" borderId="16" xfId="0" applyNumberFormat="1" applyFont="1" applyFill="1" applyBorder="1" applyAlignment="1">
      <alignment horizontal="right"/>
    </xf>
    <xf numFmtId="164" fontId="12" fillId="7" borderId="74" xfId="0" applyNumberFormat="1" applyFont="1" applyFill="1" applyBorder="1" applyAlignment="1">
      <alignment horizontal="right"/>
    </xf>
    <xf numFmtId="37" fontId="12" fillId="59" borderId="53" xfId="0" applyNumberFormat="1" applyFont="1" applyFill="1" applyBorder="1" applyAlignment="1">
      <alignment horizontal="right" indent="1"/>
    </xf>
    <xf numFmtId="37" fontId="12" fillId="59" borderId="15" xfId="0" applyNumberFormat="1" applyFont="1" applyFill="1" applyBorder="1" applyAlignment="1">
      <alignment horizontal="right" indent="1"/>
    </xf>
    <xf numFmtId="37" fontId="12" fillId="59" borderId="74" xfId="0" applyNumberFormat="1" applyFont="1" applyFill="1" applyBorder="1" applyAlignment="1">
      <alignment horizontal="right"/>
    </xf>
    <xf numFmtId="0" fontId="71" fillId="0" borderId="0" xfId="0" applyFont="1"/>
    <xf numFmtId="176" fontId="70" fillId="59" borderId="15" xfId="174" applyNumberFormat="1" applyFont="1" applyFill="1" applyBorder="1" applyAlignment="1">
      <alignment horizontal="right"/>
    </xf>
    <xf numFmtId="177" fontId="70" fillId="59" borderId="15" xfId="174" applyNumberFormat="1" applyFont="1" applyFill="1" applyBorder="1" applyAlignment="1">
      <alignment horizontal="right"/>
    </xf>
    <xf numFmtId="177" fontId="70" fillId="59" borderId="13" xfId="174" applyNumberFormat="1" applyFont="1" applyFill="1" applyBorder="1" applyAlignment="1">
      <alignment horizontal="right"/>
    </xf>
    <xf numFmtId="164" fontId="17" fillId="7" borderId="53" xfId="0" applyNumberFormat="1" applyFont="1" applyFill="1" applyBorder="1" applyAlignment="1">
      <alignment horizontal="right"/>
    </xf>
    <xf numFmtId="164" fontId="17" fillId="7" borderId="16" xfId="0" applyNumberFormat="1" applyFont="1" applyFill="1" applyBorder="1" applyAlignment="1">
      <alignment horizontal="right"/>
    </xf>
    <xf numFmtId="37" fontId="17" fillId="0" borderId="9" xfId="0" applyNumberFormat="1" applyFont="1" applyFill="1" applyBorder="1"/>
    <xf numFmtId="37" fontId="17" fillId="59" borderId="13" xfId="229" applyNumberFormat="1" applyFont="1" applyFill="1" applyBorder="1" applyAlignment="1">
      <alignment horizontal="right" indent="1"/>
    </xf>
    <xf numFmtId="164" fontId="17" fillId="59" borderId="9" xfId="20" applyNumberFormat="1" applyFont="1" applyFill="1" applyBorder="1" applyAlignment="1"/>
    <xf numFmtId="37" fontId="17" fillId="0" borderId="0" xfId="229" applyNumberFormat="1" applyFont="1" applyFill="1" applyBorder="1" applyAlignment="1">
      <alignment horizontal="right" indent="1"/>
    </xf>
    <xf numFmtId="37" fontId="17" fillId="59" borderId="11" xfId="229" applyNumberFormat="1" applyFont="1" applyFill="1" applyBorder="1" applyAlignment="1">
      <alignment horizontal="right" indent="1"/>
    </xf>
    <xf numFmtId="43" fontId="17" fillId="13" borderId="75" xfId="1" applyNumberFormat="1" applyFont="1" applyFill="1" applyBorder="1"/>
    <xf numFmtId="37" fontId="17" fillId="59" borderId="75" xfId="0" applyNumberFormat="1" applyFont="1" applyFill="1" applyBorder="1" applyAlignment="1">
      <alignment horizontal="center"/>
    </xf>
    <xf numFmtId="164" fontId="17" fillId="59" borderId="12" xfId="1" applyNumberFormat="1" applyFont="1" applyFill="1" applyBorder="1" applyAlignment="1">
      <alignment horizontal="center"/>
    </xf>
    <xf numFmtId="0" fontId="0" fillId="59" borderId="9" xfId="0" applyFill="1" applyBorder="1"/>
    <xf numFmtId="3" fontId="7" fillId="0" borderId="0" xfId="21" applyNumberFormat="1" applyBorder="1"/>
    <xf numFmtId="164" fontId="17" fillId="59" borderId="12" xfId="20" applyNumberFormat="1" applyFont="1" applyFill="1" applyBorder="1" applyAlignment="1"/>
    <xf numFmtId="0" fontId="11" fillId="57" borderId="11" xfId="174" applyFont="1" applyFill="1" applyBorder="1" applyAlignment="1">
      <alignment horizontal="right" indent="2"/>
    </xf>
    <xf numFmtId="37" fontId="17" fillId="59" borderId="17" xfId="229" applyNumberFormat="1" applyFont="1" applyFill="1" applyBorder="1" applyAlignment="1">
      <alignment horizontal="center"/>
    </xf>
    <xf numFmtId="37" fontId="17" fillId="59" borderId="10" xfId="229" applyNumberFormat="1" applyFont="1" applyFill="1" applyBorder="1" applyAlignment="1">
      <alignment horizontal="right" indent="1"/>
    </xf>
    <xf numFmtId="164" fontId="17" fillId="13" borderId="75" xfId="1" applyNumberFormat="1" applyFont="1" applyFill="1" applyBorder="1"/>
    <xf numFmtId="37" fontId="17" fillId="59" borderId="17" xfId="229" applyNumberFormat="1" applyFont="1" applyFill="1" applyBorder="1" applyAlignment="1">
      <alignment horizontal="right" indent="1"/>
    </xf>
    <xf numFmtId="164" fontId="17" fillId="0" borderId="9" xfId="20" applyNumberFormat="1" applyFont="1" applyFill="1" applyBorder="1" applyAlignment="1">
      <alignment horizontal="center"/>
    </xf>
    <xf numFmtId="164" fontId="17" fillId="13" borderId="10" xfId="1" applyNumberFormat="1" applyFont="1" applyFill="1" applyBorder="1"/>
    <xf numFmtId="164" fontId="17" fillId="59" borderId="10" xfId="20" applyNumberFormat="1" applyFont="1" applyFill="1" applyBorder="1" applyAlignment="1"/>
    <xf numFmtId="164" fontId="17" fillId="59" borderId="75" xfId="1" applyNumberFormat="1" applyFont="1" applyFill="1" applyBorder="1"/>
    <xf numFmtId="0" fontId="67" fillId="0" borderId="12" xfId="0" applyFont="1" applyFill="1" applyBorder="1" applyAlignment="1">
      <alignment horizontal="left" wrapText="1"/>
    </xf>
    <xf numFmtId="164" fontId="17" fillId="59" borderId="10" xfId="1" applyNumberFormat="1" applyFont="1" applyFill="1" applyBorder="1"/>
    <xf numFmtId="0" fontId="11" fillId="57" borderId="13" xfId="174" applyFont="1" applyFill="1" applyBorder="1" applyAlignment="1">
      <alignment horizontal="right" indent="2"/>
    </xf>
    <xf numFmtId="37" fontId="17" fillId="59" borderId="17" xfId="229" applyNumberFormat="1" applyFont="1" applyFill="1" applyBorder="1" applyAlignment="1">
      <alignment horizontal="right" indent="1"/>
    </xf>
    <xf numFmtId="37" fontId="17" fillId="59" borderId="17" xfId="229" applyNumberFormat="1" applyFont="1" applyFill="1" applyBorder="1" applyAlignment="1">
      <alignment horizontal="right" indent="1"/>
    </xf>
    <xf numFmtId="164" fontId="17" fillId="13" borderId="0" xfId="1" applyNumberFormat="1" applyFont="1" applyFill="1" applyBorder="1" applyAlignment="1">
      <alignment horizontal="center"/>
    </xf>
    <xf numFmtId="37" fontId="17" fillId="59" borderId="17" xfId="229" applyNumberFormat="1" applyFont="1" applyFill="1" applyBorder="1" applyAlignment="1">
      <alignment horizontal="right" indent="1"/>
    </xf>
    <xf numFmtId="0" fontId="11" fillId="57" borderId="13" xfId="174" applyFont="1" applyFill="1" applyBorder="1" applyAlignment="1">
      <alignment horizontal="right" indent="2"/>
    </xf>
    <xf numFmtId="37" fontId="17" fillId="59" borderId="17" xfId="229" applyNumberFormat="1" applyFont="1" applyFill="1" applyBorder="1" applyAlignment="1">
      <alignment horizontal="right" indent="1"/>
    </xf>
    <xf numFmtId="0" fontId="11" fillId="57" borderId="13" xfId="174" applyFont="1" applyFill="1" applyBorder="1" applyAlignment="1">
      <alignment horizontal="right" indent="2"/>
    </xf>
    <xf numFmtId="37" fontId="17" fillId="59" borderId="17" xfId="229" applyNumberFormat="1" applyFont="1" applyFill="1" applyBorder="1" applyAlignment="1">
      <alignment horizontal="right" indent="1"/>
    </xf>
    <xf numFmtId="37" fontId="17" fillId="59" borderId="17" xfId="229" applyNumberFormat="1" applyFont="1" applyFill="1" applyBorder="1" applyAlignment="1">
      <alignment horizontal="right" indent="1"/>
    </xf>
    <xf numFmtId="166" fontId="16" fillId="7" borderId="1" xfId="1" applyNumberFormat="1" applyFont="1" applyFill="1" applyBorder="1" applyAlignment="1">
      <alignment horizontal="right"/>
    </xf>
    <xf numFmtId="166" fontId="16" fillId="7" borderId="1" xfId="1" applyNumberFormat="1" applyFont="1" applyFill="1" applyBorder="1"/>
    <xf numFmtId="37" fontId="17" fillId="59" borderId="53" xfId="0" applyNumberFormat="1" applyFont="1" applyFill="1" applyBorder="1" applyAlignment="1">
      <alignment horizontal="center"/>
    </xf>
    <xf numFmtId="37" fontId="17" fillId="59" borderId="17" xfId="0" applyNumberFormat="1" applyFont="1" applyFill="1" applyBorder="1" applyAlignment="1">
      <alignment horizontal="center"/>
    </xf>
    <xf numFmtId="164" fontId="17" fillId="7" borderId="75" xfId="0" applyNumberFormat="1" applyFont="1" applyFill="1" applyBorder="1"/>
    <xf numFmtId="164" fontId="17" fillId="7" borderId="73" xfId="0" applyNumberFormat="1" applyFont="1" applyFill="1" applyBorder="1"/>
    <xf numFmtId="0" fontId="0" fillId="57" borderId="0" xfId="0" applyFill="1" applyAlignment="1">
      <alignment horizontal="left" vertical="center"/>
    </xf>
    <xf numFmtId="0" fontId="0" fillId="0" borderId="0" xfId="0" applyFill="1" applyAlignment="1">
      <alignment horizontal="center"/>
    </xf>
    <xf numFmtId="165" fontId="16" fillId="0" borderId="6" xfId="4" applyNumberFormat="1" applyFont="1" applyFill="1" applyBorder="1" applyAlignment="1">
      <alignment horizontal="center"/>
    </xf>
    <xf numFmtId="9" fontId="16" fillId="6" borderId="1" xfId="4" applyFont="1" applyFill="1" applyBorder="1" applyAlignment="1">
      <alignment horizontal="center"/>
    </xf>
    <xf numFmtId="167" fontId="16" fillId="6" borderId="1" xfId="4" applyNumberFormat="1" applyFont="1" applyFill="1" applyBorder="1" applyAlignment="1">
      <alignment horizontal="center"/>
    </xf>
    <xf numFmtId="0" fontId="16" fillId="53" borderId="0" xfId="0" applyFont="1" applyFill="1" applyBorder="1" applyAlignment="1">
      <alignment horizontal="center"/>
    </xf>
    <xf numFmtId="0" fontId="16" fillId="53" borderId="0" xfId="0" applyFont="1" applyFill="1" applyBorder="1"/>
    <xf numFmtId="0" fontId="16" fillId="53" borderId="0" xfId="0" applyFont="1" applyFill="1" applyAlignment="1">
      <alignment horizontal="right"/>
    </xf>
    <xf numFmtId="166" fontId="16" fillId="53" borderId="0" xfId="4" applyNumberFormat="1" applyFont="1" applyFill="1"/>
    <xf numFmtId="0" fontId="16" fillId="53" borderId="0" xfId="0" applyFont="1" applyFill="1" applyBorder="1" applyAlignment="1">
      <alignment horizontal="right"/>
    </xf>
    <xf numFmtId="0" fontId="16" fillId="53" borderId="0" xfId="0" applyFont="1" applyFill="1" applyAlignment="1">
      <alignment horizontal="center"/>
    </xf>
    <xf numFmtId="49" fontId="16" fillId="53" borderId="0" xfId="0" applyNumberFormat="1" applyFont="1" applyFill="1" applyBorder="1" applyAlignment="1">
      <alignment horizontal="center"/>
    </xf>
    <xf numFmtId="0" fontId="17" fillId="53" borderId="0" xfId="0" applyFont="1" applyFill="1" applyBorder="1"/>
    <xf numFmtId="0" fontId="17" fillId="53" borderId="0" xfId="0" applyFont="1" applyFill="1" applyBorder="1" applyAlignment="1"/>
    <xf numFmtId="0" fontId="12" fillId="53" borderId="0" xfId="0" applyFont="1" applyFill="1" applyBorder="1"/>
    <xf numFmtId="166" fontId="16" fillId="53" borderId="0" xfId="0" applyNumberFormat="1" applyFont="1" applyFill="1" applyBorder="1"/>
    <xf numFmtId="10" fontId="16" fillId="53" borderId="0" xfId="4" applyNumberFormat="1" applyFont="1" applyFill="1" applyBorder="1"/>
    <xf numFmtId="0" fontId="12" fillId="53" borderId="0" xfId="0" applyFont="1" applyFill="1" applyBorder="1" applyAlignment="1">
      <alignment horizontal="left"/>
    </xf>
    <xf numFmtId="0" fontId="12" fillId="53" borderId="0" xfId="0" applyFont="1" applyFill="1" applyBorder="1" applyAlignment="1">
      <alignment horizontal="centerContinuous"/>
    </xf>
    <xf numFmtId="0" fontId="16" fillId="53" borderId="0" xfId="0" applyFont="1" applyFill="1" applyBorder="1" applyAlignment="1">
      <alignment horizontal="centerContinuous"/>
    </xf>
    <xf numFmtId="0" fontId="12" fillId="53" borderId="0" xfId="0" applyFont="1" applyFill="1" applyBorder="1" applyAlignment="1">
      <alignment horizontal="center" wrapText="1"/>
    </xf>
    <xf numFmtId="166" fontId="16" fillId="53" borderId="0" xfId="4" applyNumberFormat="1" applyFont="1" applyFill="1" applyBorder="1"/>
    <xf numFmtId="164" fontId="16" fillId="53" borderId="0" xfId="1" applyNumberFormat="1" applyFont="1" applyFill="1" applyBorder="1"/>
    <xf numFmtId="0" fontId="12" fillId="53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49" fontId="16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/>
    <xf numFmtId="0" fontId="12" fillId="0" borderId="0" xfId="0" applyFont="1" applyFill="1" applyBorder="1"/>
    <xf numFmtId="166" fontId="16" fillId="0" borderId="0" xfId="0" applyNumberFormat="1" applyFont="1" applyFill="1" applyBorder="1"/>
    <xf numFmtId="10" fontId="16" fillId="0" borderId="0" xfId="4" applyNumberFormat="1" applyFont="1" applyFill="1" applyBorder="1"/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Continuous"/>
    </xf>
    <xf numFmtId="0" fontId="16" fillId="0" borderId="0" xfId="0" applyFont="1" applyFill="1" applyBorder="1" applyAlignment="1">
      <alignment horizontal="centerContinuous"/>
    </xf>
    <xf numFmtId="166" fontId="16" fillId="0" borderId="0" xfId="4" applyNumberFormat="1" applyFont="1" applyFill="1" applyBorder="1"/>
    <xf numFmtId="0" fontId="17" fillId="53" borderId="0" xfId="5" applyFont="1" applyFill="1" applyBorder="1" applyAlignment="1">
      <alignment horizontal="center" vertical="center" wrapText="1"/>
    </xf>
    <xf numFmtId="0" fontId="16" fillId="53" borderId="0" xfId="3" applyFont="1" applyFill="1" applyAlignment="1">
      <alignment vertical="center"/>
    </xf>
    <xf numFmtId="0" fontId="16" fillId="53" borderId="0" xfId="0" applyFont="1" applyFill="1" applyAlignment="1">
      <alignment horizontal="center" vertical="center"/>
    </xf>
    <xf numFmtId="0" fontId="22" fillId="53" borderId="0" xfId="0" applyFont="1" applyFill="1" applyAlignment="1">
      <alignment horizontal="right"/>
    </xf>
    <xf numFmtId="0" fontId="22" fillId="53" borderId="0" xfId="0" applyFont="1" applyFill="1" applyAlignment="1">
      <alignment horizontal="center"/>
    </xf>
    <xf numFmtId="0" fontId="16" fillId="53" borderId="0" xfId="9" applyFont="1" applyFill="1" applyBorder="1" applyAlignment="1">
      <alignment horizontal="left" vertical="center" wrapText="1"/>
    </xf>
    <xf numFmtId="3" fontId="22" fillId="53" borderId="0" xfId="0" applyNumberFormat="1" applyFont="1" applyFill="1" applyAlignment="1">
      <alignment horizontal="center"/>
    </xf>
    <xf numFmtId="3" fontId="16" fillId="53" borderId="0" xfId="0" applyNumberFormat="1" applyFont="1" applyFill="1"/>
    <xf numFmtId="0" fontId="22" fillId="53" borderId="0" xfId="0" applyFont="1" applyFill="1"/>
    <xf numFmtId="0" fontId="16" fillId="53" borderId="0" xfId="0" applyFont="1" applyFill="1" applyBorder="1" applyAlignment="1">
      <alignment wrapText="1"/>
    </xf>
    <xf numFmtId="0" fontId="16" fillId="53" borderId="0" xfId="3" applyFont="1" applyFill="1" applyBorder="1" applyAlignment="1">
      <alignment vertical="center" wrapText="1"/>
    </xf>
    <xf numFmtId="3" fontId="16" fillId="53" borderId="0" xfId="0" applyNumberFormat="1" applyFont="1" applyFill="1" applyBorder="1"/>
    <xf numFmtId="2" fontId="16" fillId="53" borderId="0" xfId="0" applyNumberFormat="1" applyFont="1" applyFill="1" applyBorder="1"/>
    <xf numFmtId="0" fontId="16" fillId="0" borderId="0" xfId="0" applyFont="1" applyFill="1" applyBorder="1" applyAlignment="1">
      <alignment wrapText="1"/>
    </xf>
    <xf numFmtId="0" fontId="16" fillId="0" borderId="0" xfId="0" applyFont="1" applyFill="1" applyBorder="1" applyAlignment="1"/>
    <xf numFmtId="0" fontId="16" fillId="0" borderId="0" xfId="3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wrapText="1"/>
    </xf>
    <xf numFmtId="0" fontId="45" fillId="53" borderId="0" xfId="27" applyFont="1" applyFill="1"/>
    <xf numFmtId="0" fontId="17" fillId="53" borderId="0" xfId="0" applyFont="1" applyFill="1"/>
    <xf numFmtId="0" fontId="17" fillId="0" borderId="0" xfId="0" applyFont="1" applyFill="1"/>
    <xf numFmtId="0" fontId="16" fillId="0" borderId="0" xfId="0" applyFont="1" applyFill="1" applyAlignment="1">
      <alignment horizontal="right"/>
    </xf>
    <xf numFmtId="49" fontId="16" fillId="0" borderId="0" xfId="0" applyNumberFormat="1" applyFont="1" applyFill="1" applyAlignment="1">
      <alignment horizontal="center"/>
    </xf>
    <xf numFmtId="0" fontId="17" fillId="0" borderId="0" xfId="0" applyFont="1" applyFill="1" applyAlignment="1"/>
    <xf numFmtId="166" fontId="16" fillId="0" borderId="0" xfId="0" applyNumberFormat="1" applyFont="1" applyFill="1"/>
    <xf numFmtId="0" fontId="16" fillId="53" borderId="0" xfId="0" applyFont="1" applyFill="1" applyAlignment="1">
      <alignment horizontal="left" vertical="center" wrapText="1"/>
    </xf>
    <xf numFmtId="0" fontId="16" fillId="53" borderId="0" xfId="0" applyFont="1" applyFill="1" applyAlignment="1">
      <alignment vertical="center" wrapText="1"/>
    </xf>
    <xf numFmtId="0" fontId="16" fillId="53" borderId="0" xfId="0" applyFont="1" applyFill="1" applyBorder="1" applyAlignment="1">
      <alignment vertical="center" wrapText="1"/>
    </xf>
    <xf numFmtId="10" fontId="16" fillId="53" borderId="0" xfId="4" applyNumberFormat="1" applyFont="1" applyFill="1"/>
    <xf numFmtId="0" fontId="17" fillId="53" borderId="0" xfId="5" applyFont="1" applyFill="1" applyBorder="1" applyAlignment="1">
      <alignment horizontal="left"/>
    </xf>
    <xf numFmtId="0" fontId="72" fillId="53" borderId="0" xfId="0" applyFont="1" applyFill="1"/>
    <xf numFmtId="0" fontId="16" fillId="0" borderId="0" xfId="3" applyFont="1" applyFill="1" applyAlignment="1">
      <alignment vertical="center"/>
    </xf>
    <xf numFmtId="0" fontId="73" fillId="53" borderId="0" xfId="2" applyFont="1" applyFill="1" applyAlignment="1">
      <alignment vertical="center"/>
    </xf>
    <xf numFmtId="0" fontId="73" fillId="53" borderId="0" xfId="2" applyFont="1" applyFill="1" applyAlignment="1">
      <alignment horizontal="center" vertical="center"/>
    </xf>
    <xf numFmtId="0" fontId="74" fillId="53" borderId="0" xfId="128" applyFont="1" applyFill="1" applyBorder="1" applyAlignment="1">
      <alignment wrapText="1"/>
    </xf>
    <xf numFmtId="0" fontId="74" fillId="53" borderId="0" xfId="0" applyFont="1" applyFill="1" applyBorder="1" applyAlignment="1">
      <alignment wrapText="1"/>
    </xf>
    <xf numFmtId="0" fontId="72" fillId="53" borderId="0" xfId="7" quotePrefix="1" applyFont="1" applyFill="1" applyBorder="1" applyAlignment="1"/>
    <xf numFmtId="0" fontId="16" fillId="53" borderId="0" xfId="21" applyFont="1" applyFill="1" applyAlignment="1"/>
    <xf numFmtId="0" fontId="16" fillId="53" borderId="0" xfId="21" applyFont="1" applyFill="1" applyAlignment="1">
      <alignment wrapText="1"/>
    </xf>
    <xf numFmtId="0" fontId="22" fillId="53" borderId="0" xfId="21" applyFont="1" applyFill="1"/>
    <xf numFmtId="9" fontId="13" fillId="53" borderId="0" xfId="4" applyFont="1" applyFill="1" applyBorder="1" applyAlignment="1">
      <alignment horizontal="right"/>
    </xf>
    <xf numFmtId="43" fontId="22" fillId="53" borderId="0" xfId="0" applyNumberFormat="1" applyFont="1" applyFill="1"/>
    <xf numFmtId="37" fontId="22" fillId="53" borderId="0" xfId="0" applyNumberFormat="1" applyFont="1" applyFill="1" applyAlignment="1">
      <alignment horizontal="left" vertical="center"/>
    </xf>
    <xf numFmtId="0" fontId="24" fillId="53" borderId="0" xfId="0" applyFont="1" applyFill="1"/>
    <xf numFmtId="0" fontId="75" fillId="60" borderId="85" xfId="0" applyFont="1" applyFill="1" applyBorder="1" applyAlignment="1">
      <alignment horizontal="center" vertical="center" wrapText="1"/>
    </xf>
    <xf numFmtId="0" fontId="75" fillId="60" borderId="86" xfId="0" applyFont="1" applyFill="1" applyBorder="1" applyAlignment="1">
      <alignment horizontal="center" vertical="center" wrapText="1"/>
    </xf>
    <xf numFmtId="0" fontId="75" fillId="60" borderId="84" xfId="0" applyFont="1" applyFill="1" applyBorder="1" applyAlignment="1">
      <alignment horizontal="center" vertical="center" wrapText="1"/>
    </xf>
    <xf numFmtId="0" fontId="76" fillId="60" borderId="84" xfId="0" applyFont="1" applyFill="1" applyBorder="1" applyAlignment="1">
      <alignment horizontal="right" vertical="center" wrapText="1"/>
    </xf>
    <xf numFmtId="0" fontId="24" fillId="0" borderId="0" xfId="0" applyFont="1" applyFill="1"/>
    <xf numFmtId="0" fontId="0" fillId="57" borderId="0" xfId="0" applyFont="1" applyFill="1" applyAlignment="1">
      <alignment horizontal="center" vertical="center" wrapText="1"/>
    </xf>
    <xf numFmtId="0" fontId="0" fillId="57" borderId="0" xfId="0" applyFont="1" applyFill="1" applyAlignment="1">
      <alignment horizontal="left"/>
    </xf>
    <xf numFmtId="177" fontId="11" fillId="59" borderId="15" xfId="174" applyNumberFormat="1" applyFont="1" applyFill="1" applyBorder="1" applyAlignment="1">
      <alignment horizontal="right"/>
    </xf>
    <xf numFmtId="177" fontId="11" fillId="59" borderId="13" xfId="174" applyNumberFormat="1" applyFont="1" applyFill="1" applyBorder="1" applyAlignment="1">
      <alignment horizontal="right"/>
    </xf>
    <xf numFmtId="0" fontId="0" fillId="0" borderId="0" xfId="0" applyAlignment="1">
      <alignment horizontal="center" vertical="center" wrapText="1"/>
    </xf>
    <xf numFmtId="0" fontId="0" fillId="57" borderId="0" xfId="0" applyFont="1" applyFill="1" applyAlignment="1">
      <alignment horizontal="left"/>
    </xf>
    <xf numFmtId="0" fontId="0" fillId="0" borderId="0" xfId="0" applyAlignment="1">
      <alignment horizontal="left" vertical="center"/>
    </xf>
    <xf numFmtId="0" fontId="0" fillId="0" borderId="13" xfId="0" applyFill="1" applyBorder="1"/>
    <xf numFmtId="0" fontId="0" fillId="10" borderId="12" xfId="0" applyFill="1" applyBorder="1"/>
    <xf numFmtId="0" fontId="0" fillId="10" borderId="11" xfId="0" applyFill="1" applyBorder="1"/>
    <xf numFmtId="0" fontId="0" fillId="10" borderId="0" xfId="0" applyFill="1" applyBorder="1"/>
    <xf numFmtId="0" fontId="0" fillId="10" borderId="14" xfId="0" applyFill="1" applyBorder="1"/>
    <xf numFmtId="4" fontId="0" fillId="0" borderId="15" xfId="0" applyNumberFormat="1" applyFill="1" applyBorder="1"/>
    <xf numFmtId="4" fontId="0" fillId="0" borderId="0" xfId="0" applyNumberFormat="1" applyFill="1" applyBorder="1"/>
    <xf numFmtId="4" fontId="0" fillId="0" borderId="14" xfId="0" applyNumberFormat="1" applyFill="1" applyBorder="1"/>
    <xf numFmtId="0" fontId="8" fillId="0" borderId="0" xfId="0" applyFont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1" fillId="57" borderId="17" xfId="0" applyFont="1" applyFill="1" applyBorder="1" applyAlignment="1">
      <alignment horizontal="right" indent="2"/>
    </xf>
    <xf numFmtId="0" fontId="17" fillId="4" borderId="0" xfId="0" applyFont="1" applyFill="1" applyBorder="1"/>
    <xf numFmtId="0" fontId="25" fillId="4" borderId="0" xfId="0" applyFont="1" applyFill="1" applyBorder="1"/>
    <xf numFmtId="0" fontId="16" fillId="4" borderId="0" xfId="0" applyFont="1" applyFill="1" applyBorder="1"/>
    <xf numFmtId="43" fontId="0" fillId="53" borderId="0" xfId="0" applyNumberFormat="1" applyFill="1"/>
    <xf numFmtId="0" fontId="0" fillId="53" borderId="9" xfId="0" applyFill="1" applyBorder="1"/>
    <xf numFmtId="3" fontId="11" fillId="58" borderId="9" xfId="0" applyNumberFormat="1" applyFont="1" applyFill="1" applyBorder="1" applyAlignment="1"/>
    <xf numFmtId="3" fontId="11" fillId="59" borderId="53" xfId="0" applyNumberFormat="1" applyFont="1" applyFill="1" applyBorder="1" applyAlignment="1"/>
    <xf numFmtId="37" fontId="17" fillId="59" borderId="15" xfId="0" applyNumberFormat="1" applyFont="1" applyFill="1" applyBorder="1" applyAlignment="1">
      <alignment horizontal="right"/>
    </xf>
    <xf numFmtId="43" fontId="17" fillId="7" borderId="75" xfId="1" applyNumberFormat="1" applyFont="1" applyFill="1" applyBorder="1"/>
    <xf numFmtId="37" fontId="12" fillId="59" borderId="53" xfId="0" applyNumberFormat="1" applyFont="1" applyFill="1" applyBorder="1"/>
    <xf numFmtId="37" fontId="12" fillId="59" borderId="16" xfId="0" applyNumberFormat="1" applyFont="1" applyFill="1" applyBorder="1"/>
    <xf numFmtId="37" fontId="12" fillId="59" borderId="17" xfId="0" applyNumberFormat="1" applyFont="1" applyFill="1" applyBorder="1"/>
    <xf numFmtId="0" fontId="67" fillId="55" borderId="0" xfId="174" applyFont="1" applyFill="1" applyBorder="1" applyAlignment="1">
      <alignment horizontal="left" wrapText="1"/>
    </xf>
    <xf numFmtId="0" fontId="10" fillId="0" borderId="0" xfId="176" applyFont="1" applyFill="1" applyAlignment="1">
      <alignment horizontal="center" vertical="center"/>
    </xf>
    <xf numFmtId="0" fontId="10" fillId="56" borderId="0" xfId="176" applyFont="1" applyFill="1" applyAlignment="1">
      <alignment horizontal="center" vertical="center"/>
    </xf>
    <xf numFmtId="0" fontId="67" fillId="52" borderId="0" xfId="174" applyFont="1" applyFill="1" applyBorder="1" applyAlignment="1">
      <alignment horizontal="left" wrapText="1"/>
    </xf>
    <xf numFmtId="0" fontId="67" fillId="52" borderId="0" xfId="174" applyFont="1" applyFill="1" applyBorder="1" applyAlignment="1">
      <alignment horizontal="left" vertical="center" wrapText="1"/>
    </xf>
    <xf numFmtId="0" fontId="67" fillId="52" borderId="0" xfId="128" applyFont="1" applyFill="1" applyBorder="1" applyAlignment="1">
      <alignment horizontal="left" wrapText="1"/>
    </xf>
    <xf numFmtId="0" fontId="10" fillId="56" borderId="0" xfId="2" applyFont="1" applyFill="1" applyAlignment="1">
      <alignment horizontal="center" vertical="center"/>
    </xf>
    <xf numFmtId="1" fontId="16" fillId="7" borderId="1" xfId="20" applyNumberFormat="1" applyFont="1" applyFill="1" applyBorder="1" applyAlignment="1">
      <alignment horizontal="center"/>
    </xf>
    <xf numFmtId="2" fontId="16" fillId="7" borderId="1" xfId="20" applyNumberFormat="1" applyFont="1" applyFill="1" applyBorder="1" applyAlignment="1">
      <alignment horizontal="center"/>
    </xf>
    <xf numFmtId="37" fontId="16" fillId="7" borderId="1" xfId="20" applyNumberFormat="1" applyFont="1" applyFill="1" applyBorder="1" applyAlignment="1">
      <alignment horizontal="center"/>
    </xf>
    <xf numFmtId="165" fontId="16" fillId="6" borderId="1" xfId="4" applyNumberFormat="1" applyFont="1" applyFill="1" applyBorder="1" applyAlignment="1">
      <alignment horizontal="center"/>
    </xf>
    <xf numFmtId="0" fontId="67" fillId="52" borderId="0" xfId="0" applyFont="1" applyFill="1" applyBorder="1" applyAlignment="1">
      <alignment horizontal="left" wrapText="1"/>
    </xf>
    <xf numFmtId="0" fontId="11" fillId="0" borderId="0" xfId="0" applyFont="1" applyFill="1" applyBorder="1" applyAlignment="1">
      <alignment horizontal="center"/>
    </xf>
    <xf numFmtId="0" fontId="67" fillId="55" borderId="0" xfId="0" applyFont="1" applyFill="1" applyBorder="1" applyAlignment="1">
      <alignment horizontal="left" wrapText="1"/>
    </xf>
    <xf numFmtId="0" fontId="7" fillId="6" borderId="1" xfId="21" applyFont="1" applyFill="1" applyBorder="1" applyAlignment="1">
      <alignment horizontal="center"/>
    </xf>
    <xf numFmtId="2" fontId="7" fillId="6" borderId="1" xfId="21" applyNumberFormat="1" applyFont="1" applyFill="1" applyBorder="1" applyAlignment="1">
      <alignment horizontal="center"/>
    </xf>
    <xf numFmtId="0" fontId="0" fillId="57" borderId="0" xfId="0" applyFont="1" applyFill="1" applyAlignment="1">
      <alignment horizontal="left"/>
    </xf>
    <xf numFmtId="0" fontId="0" fillId="57" borderId="15" xfId="0" applyFont="1" applyFill="1" applyBorder="1" applyAlignment="1">
      <alignment horizontal="left"/>
    </xf>
    <xf numFmtId="3" fontId="7" fillId="52" borderId="0" xfId="21" applyNumberFormat="1" applyFont="1" applyFill="1" applyBorder="1" applyAlignment="1">
      <alignment horizontal="center"/>
    </xf>
    <xf numFmtId="9" fontId="7" fillId="10" borderId="1" xfId="21" applyNumberFormat="1" applyFont="1" applyFill="1" applyBorder="1" applyAlignment="1">
      <alignment horizontal="center"/>
    </xf>
    <xf numFmtId="9" fontId="16" fillId="5" borderId="1" xfId="23" applyNumberFormat="1" applyFont="1" applyFill="1" applyBorder="1" applyAlignment="1">
      <alignment horizontal="center"/>
    </xf>
    <xf numFmtId="2" fontId="16" fillId="5" borderId="1" xfId="23" applyNumberFormat="1" applyFont="1" applyFill="1" applyBorder="1" applyAlignment="1">
      <alignment horizontal="center"/>
    </xf>
    <xf numFmtId="1" fontId="16" fillId="5" borderId="1" xfId="23" applyNumberFormat="1" applyFont="1" applyFill="1" applyBorder="1" applyAlignment="1">
      <alignment horizontal="center"/>
    </xf>
    <xf numFmtId="3" fontId="7" fillId="10" borderId="1" xfId="21" applyNumberFormat="1" applyFont="1" applyFill="1" applyBorder="1" applyAlignment="1">
      <alignment horizontal="center"/>
    </xf>
    <xf numFmtId="0" fontId="11" fillId="0" borderId="0" xfId="21" applyFont="1" applyFill="1" applyAlignment="1">
      <alignment horizontal="center"/>
    </xf>
    <xf numFmtId="0" fontId="17" fillId="0" borderId="0" xfId="128" applyFont="1" applyFill="1" applyBorder="1" applyAlignment="1">
      <alignment horizontal="center" vertical="center" wrapText="1"/>
    </xf>
    <xf numFmtId="1" fontId="7" fillId="10" borderId="1" xfId="21" applyNumberFormat="1" applyFont="1" applyFill="1" applyBorder="1" applyAlignment="1">
      <alignment horizontal="center"/>
    </xf>
    <xf numFmtId="0" fontId="17" fillId="57" borderId="12" xfId="128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/>
    </xf>
    <xf numFmtId="0" fontId="0" fillId="10" borderId="19" xfId="0" applyFont="1" applyFill="1" applyBorder="1" applyAlignment="1">
      <alignment horizontal="center"/>
    </xf>
    <xf numFmtId="0" fontId="0" fillId="10" borderId="28" xfId="0" applyFont="1" applyFill="1" applyBorder="1" applyAlignment="1">
      <alignment horizontal="center"/>
    </xf>
    <xf numFmtId="0" fontId="0" fillId="6" borderId="26" xfId="0" applyFont="1" applyFill="1" applyBorder="1" applyAlignment="1">
      <alignment horizontal="center"/>
    </xf>
    <xf numFmtId="0" fontId="0" fillId="6" borderId="31" xfId="0" applyFont="1" applyFill="1" applyBorder="1" applyAlignment="1">
      <alignment horizontal="center"/>
    </xf>
    <xf numFmtId="9" fontId="7" fillId="5" borderId="19" xfId="4" applyFont="1" applyFill="1" applyBorder="1" applyAlignment="1">
      <alignment horizontal="center"/>
    </xf>
    <xf numFmtId="9" fontId="7" fillId="5" borderId="28" xfId="4" applyFont="1" applyFill="1" applyBorder="1" applyAlignment="1">
      <alignment horizontal="center"/>
    </xf>
    <xf numFmtId="3" fontId="16" fillId="7" borderId="26" xfId="20" applyNumberFormat="1" applyFont="1" applyFill="1" applyBorder="1" applyAlignment="1">
      <alignment horizontal="center" vertical="center"/>
    </xf>
    <xf numFmtId="3" fontId="16" fillId="7" borderId="31" xfId="20" applyNumberFormat="1" applyFont="1" applyFill="1" applyBorder="1" applyAlignment="1">
      <alignment horizontal="center" vertical="center"/>
    </xf>
    <xf numFmtId="164" fontId="16" fillId="7" borderId="26" xfId="20" applyNumberFormat="1" applyFont="1" applyFill="1" applyBorder="1" applyAlignment="1">
      <alignment horizontal="center" vertical="center"/>
    </xf>
    <xf numFmtId="164" fontId="16" fillId="7" borderId="31" xfId="20" applyNumberFormat="1" applyFont="1" applyFill="1" applyBorder="1" applyAlignment="1">
      <alignment horizontal="center" vertical="center"/>
    </xf>
    <xf numFmtId="164" fontId="17" fillId="7" borderId="45" xfId="0" applyNumberFormat="1" applyFont="1" applyFill="1" applyBorder="1" applyAlignment="1">
      <alignment horizontal="center"/>
    </xf>
    <xf numFmtId="164" fontId="17" fillId="7" borderId="28" xfId="0" applyNumberFormat="1" applyFont="1" applyFill="1" applyBorder="1" applyAlignment="1">
      <alignment horizontal="center"/>
    </xf>
    <xf numFmtId="164" fontId="17" fillId="13" borderId="8" xfId="1" applyNumberFormat="1" applyFont="1" applyFill="1" applyBorder="1" applyAlignment="1">
      <alignment horizontal="center"/>
    </xf>
    <xf numFmtId="164" fontId="17" fillId="13" borderId="10" xfId="1" applyNumberFormat="1" applyFont="1" applyFill="1" applyBorder="1" applyAlignment="1">
      <alignment horizontal="center"/>
    </xf>
    <xf numFmtId="164" fontId="17" fillId="59" borderId="46" xfId="0" applyNumberFormat="1" applyFont="1" applyFill="1" applyBorder="1" applyAlignment="1">
      <alignment horizontal="center"/>
    </xf>
    <xf numFmtId="164" fontId="17" fillId="59" borderId="73" xfId="0" applyNumberFormat="1" applyFont="1" applyFill="1" applyBorder="1" applyAlignment="1">
      <alignment horizontal="center"/>
    </xf>
    <xf numFmtId="164" fontId="17" fillId="7" borderId="46" xfId="0" applyNumberFormat="1" applyFont="1" applyFill="1" applyBorder="1" applyAlignment="1">
      <alignment horizontal="center"/>
    </xf>
    <xf numFmtId="164" fontId="17" fillId="7" borderId="73" xfId="0" applyNumberFormat="1" applyFont="1" applyFill="1" applyBorder="1" applyAlignment="1">
      <alignment horizontal="center"/>
    </xf>
    <xf numFmtId="164" fontId="17" fillId="7" borderId="83" xfId="0" applyNumberFormat="1" applyFont="1" applyFill="1" applyBorder="1" applyAlignment="1">
      <alignment horizontal="center"/>
    </xf>
    <xf numFmtId="164" fontId="17" fillId="7" borderId="74" xfId="0" applyNumberFormat="1" applyFont="1" applyFill="1" applyBorder="1" applyAlignment="1">
      <alignment horizontal="center"/>
    </xf>
    <xf numFmtId="164" fontId="17" fillId="7" borderId="52" xfId="0" applyNumberFormat="1" applyFont="1" applyFill="1" applyBorder="1" applyAlignment="1">
      <alignment horizontal="center"/>
    </xf>
    <xf numFmtId="164" fontId="17" fillId="59" borderId="8" xfId="1" applyNumberFormat="1" applyFont="1" applyFill="1" applyBorder="1" applyAlignment="1">
      <alignment horizontal="center"/>
    </xf>
    <xf numFmtId="164" fontId="17" fillId="59" borderId="10" xfId="1" applyNumberFormat="1" applyFont="1" applyFill="1" applyBorder="1" applyAlignment="1">
      <alignment horizontal="center"/>
    </xf>
    <xf numFmtId="0" fontId="17" fillId="53" borderId="0" xfId="0" applyFont="1" applyFill="1" applyAlignment="1">
      <alignment horizontal="center"/>
    </xf>
    <xf numFmtId="0" fontId="67" fillId="52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vertical="center"/>
    </xf>
    <xf numFmtId="170" fontId="11" fillId="0" borderId="0" xfId="0" applyNumberFormat="1" applyFont="1" applyFill="1" applyBorder="1" applyAlignment="1">
      <alignment horizontal="center"/>
    </xf>
    <xf numFmtId="170" fontId="11" fillId="57" borderId="0" xfId="0" applyNumberFormat="1" applyFont="1" applyFill="1" applyBorder="1" applyAlignment="1">
      <alignment horizontal="center"/>
    </xf>
    <xf numFmtId="0" fontId="11" fillId="57" borderId="0" xfId="0" applyFont="1" applyFill="1" applyBorder="1" applyAlignment="1">
      <alignment horizontal="center"/>
    </xf>
    <xf numFmtId="164" fontId="17" fillId="0" borderId="0" xfId="1" applyNumberFormat="1" applyFont="1" applyFill="1" applyBorder="1" applyAlignment="1">
      <alignment horizontal="center"/>
    </xf>
    <xf numFmtId="1" fontId="13" fillId="6" borderId="1" xfId="4" applyNumberFormat="1" applyFont="1" applyFill="1" applyBorder="1" applyAlignment="1">
      <alignment horizontal="center" vertical="center"/>
    </xf>
    <xf numFmtId="165" fontId="13" fillId="6" borderId="1" xfId="4" applyNumberFormat="1" applyFont="1" applyFill="1" applyBorder="1" applyAlignment="1">
      <alignment horizontal="center" vertical="center"/>
    </xf>
    <xf numFmtId="166" fontId="13" fillId="6" borderId="1" xfId="4" applyNumberFormat="1" applyFont="1" applyFill="1" applyBorder="1" applyAlignment="1">
      <alignment horizontal="center" vertical="center"/>
    </xf>
    <xf numFmtId="1" fontId="13" fillId="6" borderId="26" xfId="4" applyNumberFormat="1" applyFont="1" applyFill="1" applyBorder="1" applyAlignment="1">
      <alignment horizontal="center" vertical="center"/>
    </xf>
    <xf numFmtId="1" fontId="13" fillId="6" borderId="31" xfId="4" applyNumberFormat="1" applyFont="1" applyFill="1" applyBorder="1" applyAlignment="1">
      <alignment horizontal="center" vertical="center"/>
    </xf>
    <xf numFmtId="9" fontId="16" fillId="5" borderId="1" xfId="8" applyFont="1" applyFill="1" applyBorder="1" applyAlignment="1">
      <alignment horizontal="center"/>
    </xf>
    <xf numFmtId="9" fontId="7" fillId="5" borderId="1" xfId="8" applyFont="1" applyFill="1" applyBorder="1" applyAlignment="1">
      <alignment horizontal="center"/>
    </xf>
    <xf numFmtId="3" fontId="7" fillId="5" borderId="26" xfId="6" applyNumberFormat="1" applyFont="1" applyFill="1" applyBorder="1" applyAlignment="1">
      <alignment horizontal="center"/>
    </xf>
    <xf numFmtId="3" fontId="7" fillId="5" borderId="6" xfId="6" applyNumberFormat="1" applyFont="1" applyFill="1" applyBorder="1" applyAlignment="1">
      <alignment horizontal="center"/>
    </xf>
    <xf numFmtId="3" fontId="7" fillId="5" borderId="31" xfId="6" applyNumberFormat="1" applyFont="1" applyFill="1" applyBorder="1" applyAlignment="1">
      <alignment horizontal="center"/>
    </xf>
    <xf numFmtId="0" fontId="16" fillId="5" borderId="26" xfId="7" applyFont="1" applyFill="1" applyBorder="1" applyAlignment="1">
      <alignment horizontal="center" wrapText="1"/>
    </xf>
    <xf numFmtId="0" fontId="16" fillId="5" borderId="6" xfId="7" applyFont="1" applyFill="1" applyBorder="1" applyAlignment="1">
      <alignment horizontal="center" wrapText="1"/>
    </xf>
    <xf numFmtId="0" fontId="16" fillId="5" borderId="31" xfId="7" applyFont="1" applyFill="1" applyBorder="1" applyAlignment="1">
      <alignment horizontal="center" wrapText="1"/>
    </xf>
    <xf numFmtId="0" fontId="16" fillId="6" borderId="1" xfId="7" applyFont="1" applyFill="1" applyBorder="1" applyAlignment="1">
      <alignment horizontal="center"/>
    </xf>
    <xf numFmtId="177" fontId="11" fillId="59" borderId="14" xfId="174" applyNumberFormat="1" applyFont="1" applyFill="1" applyBorder="1" applyAlignment="1">
      <alignment horizontal="right"/>
    </xf>
    <xf numFmtId="177" fontId="11" fillId="59" borderId="15" xfId="174" applyNumberFormat="1" applyFont="1" applyFill="1" applyBorder="1" applyAlignment="1">
      <alignment horizontal="right"/>
    </xf>
    <xf numFmtId="177" fontId="11" fillId="59" borderId="11" xfId="174" applyNumberFormat="1" applyFont="1" applyFill="1" applyBorder="1" applyAlignment="1">
      <alignment horizontal="right"/>
    </xf>
    <xf numFmtId="177" fontId="11" fillId="59" borderId="13" xfId="174" applyNumberFormat="1" applyFont="1" applyFill="1" applyBorder="1" applyAlignment="1">
      <alignment horizontal="right"/>
    </xf>
    <xf numFmtId="3" fontId="17" fillId="7" borderId="1" xfId="7" applyNumberFormat="1" applyFont="1" applyFill="1" applyBorder="1" applyAlignment="1">
      <alignment horizontal="center"/>
    </xf>
    <xf numFmtId="0" fontId="17" fillId="0" borderId="7" xfId="174" applyFont="1" applyFill="1" applyBorder="1" applyAlignment="1">
      <alignment horizontal="center" vertical="center"/>
    </xf>
    <xf numFmtId="37" fontId="17" fillId="59" borderId="14" xfId="0" applyNumberFormat="1" applyFont="1" applyFill="1" applyBorder="1" applyAlignment="1">
      <alignment horizontal="right" vertical="center" indent="1"/>
    </xf>
    <xf numFmtId="37" fontId="17" fillId="59" borderId="15" xfId="0" applyNumberFormat="1" applyFont="1" applyFill="1" applyBorder="1" applyAlignment="1">
      <alignment horizontal="right" vertical="center" indent="1"/>
    </xf>
    <xf numFmtId="37" fontId="17" fillId="59" borderId="14" xfId="0" applyNumberFormat="1" applyFont="1" applyFill="1" applyBorder="1" applyAlignment="1">
      <alignment horizontal="right" vertical="center"/>
    </xf>
    <xf numFmtId="37" fontId="17" fillId="59" borderId="15" xfId="0" applyNumberFormat="1" applyFont="1" applyFill="1" applyBorder="1" applyAlignment="1">
      <alignment horizontal="right" vertical="center"/>
    </xf>
    <xf numFmtId="164" fontId="17" fillId="7" borderId="14" xfId="0" applyNumberFormat="1" applyFont="1" applyFill="1" applyBorder="1" applyAlignment="1">
      <alignment horizontal="center"/>
    </xf>
    <xf numFmtId="164" fontId="17" fillId="7" borderId="15" xfId="0" applyNumberFormat="1" applyFont="1" applyFill="1" applyBorder="1" applyAlignment="1">
      <alignment horizontal="center"/>
    </xf>
    <xf numFmtId="164" fontId="17" fillId="7" borderId="11" xfId="0" applyNumberFormat="1" applyFont="1" applyFill="1" applyBorder="1" applyAlignment="1">
      <alignment horizontal="center"/>
    </xf>
    <xf numFmtId="164" fontId="17" fillId="7" borderId="13" xfId="0" applyNumberFormat="1" applyFont="1" applyFill="1" applyBorder="1" applyAlignment="1">
      <alignment horizontal="center"/>
    </xf>
    <xf numFmtId="176" fontId="11" fillId="59" borderId="14" xfId="174" applyNumberFormat="1" applyFont="1" applyFill="1" applyBorder="1" applyAlignment="1">
      <alignment horizontal="right"/>
    </xf>
    <xf numFmtId="176" fontId="11" fillId="59" borderId="15" xfId="174" applyNumberFormat="1" applyFont="1" applyFill="1" applyBorder="1" applyAlignment="1">
      <alignment horizontal="right"/>
    </xf>
    <xf numFmtId="0" fontId="0" fillId="0" borderId="7" xfId="0" applyBorder="1" applyAlignment="1">
      <alignment horizontal="center"/>
    </xf>
    <xf numFmtId="0" fontId="43" fillId="0" borderId="29" xfId="0" applyFont="1" applyBorder="1" applyAlignment="1">
      <alignment horizontal="center" vertical="center" wrapText="1"/>
    </xf>
    <xf numFmtId="0" fontId="43" fillId="0" borderId="47" xfId="0" applyFont="1" applyBorder="1" applyAlignment="1">
      <alignment horizontal="center" vertical="center" wrapText="1"/>
    </xf>
    <xf numFmtId="0" fontId="43" fillId="0" borderId="48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43" fillId="0" borderId="3" xfId="0" applyFont="1" applyBorder="1" applyAlignment="1">
      <alignment horizontal="center" vertical="center" wrapText="1"/>
    </xf>
    <xf numFmtId="0" fontId="43" fillId="0" borderId="30" xfId="0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43" fillId="0" borderId="49" xfId="0" applyFont="1" applyBorder="1" applyAlignment="1">
      <alignment horizontal="center" vertical="center" wrapText="1"/>
    </xf>
    <xf numFmtId="0" fontId="0" fillId="19" borderId="26" xfId="0" applyFill="1" applyBorder="1" applyAlignment="1">
      <alignment horizontal="center"/>
    </xf>
    <xf numFmtId="0" fontId="0" fillId="19" borderId="6" xfId="0" applyFill="1" applyBorder="1" applyAlignment="1">
      <alignment horizontal="center"/>
    </xf>
    <xf numFmtId="0" fontId="0" fillId="19" borderId="31" xfId="0" applyFill="1" applyBorder="1" applyAlignment="1">
      <alignment horizontal="center"/>
    </xf>
    <xf numFmtId="0" fontId="0" fillId="20" borderId="26" xfId="0" applyFill="1" applyBorder="1" applyAlignment="1">
      <alignment horizontal="center"/>
    </xf>
    <xf numFmtId="0" fontId="0" fillId="20" borderId="6" xfId="0" applyFill="1" applyBorder="1" applyAlignment="1">
      <alignment horizontal="center"/>
    </xf>
    <xf numFmtId="0" fontId="0" fillId="20" borderId="31" xfId="0" applyFill="1" applyBorder="1" applyAlignment="1">
      <alignment horizontal="center"/>
    </xf>
    <xf numFmtId="0" fontId="0" fillId="0" borderId="0" xfId="0" applyAlignment="1">
      <alignment horizontal="center"/>
    </xf>
    <xf numFmtId="0" fontId="43" fillId="0" borderId="0" xfId="0" applyFont="1" applyAlignment="1">
      <alignment horizontal="center" vertical="center" wrapText="1"/>
    </xf>
    <xf numFmtId="0" fontId="0" fillId="19" borderId="1" xfId="0" applyFill="1" applyBorder="1" applyAlignment="1">
      <alignment horizontal="center"/>
    </xf>
    <xf numFmtId="0" fontId="0" fillId="20" borderId="1" xfId="0" applyFill="1" applyBorder="1" applyAlignment="1">
      <alignment horizontal="center"/>
    </xf>
    <xf numFmtId="0" fontId="13" fillId="0" borderId="0" xfId="7" applyAlignment="1">
      <alignment horizontal="left" wrapText="1"/>
    </xf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75" fillId="60" borderId="85" xfId="0" applyFont="1" applyFill="1" applyBorder="1" applyAlignment="1">
      <alignment horizontal="center" vertical="center" wrapText="1"/>
    </xf>
    <xf numFmtId="0" fontId="75" fillId="60" borderId="86" xfId="0" applyFont="1" applyFill="1" applyBorder="1" applyAlignment="1">
      <alignment horizontal="center" vertical="center" wrapText="1"/>
    </xf>
    <xf numFmtId="0" fontId="11" fillId="49" borderId="26" xfId="0" applyFont="1" applyFill="1" applyBorder="1" applyAlignment="1">
      <alignment horizontal="left" vertical="center"/>
    </xf>
    <xf numFmtId="0" fontId="11" fillId="49" borderId="6" xfId="0" applyFont="1" applyFill="1" applyBorder="1" applyAlignment="1">
      <alignment horizontal="left" vertical="center"/>
    </xf>
    <xf numFmtId="0" fontId="11" fillId="49" borderId="31" xfId="0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165" fontId="16" fillId="0" borderId="1" xfId="4" applyNumberFormat="1" applyFont="1" applyFill="1" applyBorder="1" applyAlignment="1">
      <alignment horizontal="center"/>
    </xf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16" fillId="0" borderId="26" xfId="4" applyNumberFormat="1" applyFont="1" applyFill="1" applyBorder="1" applyAlignment="1">
      <alignment horizontal="center"/>
    </xf>
  </cellXfs>
  <cellStyles count="289">
    <cellStyle name="20% - Accent1" xfId="44" builtinId="30" customBuiltin="1"/>
    <cellStyle name="20% - Accent1 2" xfId="88"/>
    <cellStyle name="20% - Accent1 3" xfId="150"/>
    <cellStyle name="20% - Accent1 4" xfId="196"/>
    <cellStyle name="20% - Accent1 5" xfId="251"/>
    <cellStyle name="20% - Accent2" xfId="47" builtinId="34" customBuiltin="1"/>
    <cellStyle name="20% - Accent2 2" xfId="91"/>
    <cellStyle name="20% - Accent2 3" xfId="153"/>
    <cellStyle name="20% - Accent2 4" xfId="199"/>
    <cellStyle name="20% - Accent2 5" xfId="254"/>
    <cellStyle name="20% - Accent3" xfId="50" builtinId="38" customBuiltin="1"/>
    <cellStyle name="20% - Accent3 2" xfId="94"/>
    <cellStyle name="20% - Accent3 3" xfId="156"/>
    <cellStyle name="20% - Accent3 4" xfId="202"/>
    <cellStyle name="20% - Accent3 5" xfId="257"/>
    <cellStyle name="20% - Accent4" xfId="54" builtinId="42" customBuiltin="1"/>
    <cellStyle name="20% - Accent4 2" xfId="98"/>
    <cellStyle name="20% - Accent4 3" xfId="160"/>
    <cellStyle name="20% - Accent4 4" xfId="206"/>
    <cellStyle name="20% - Accent4 5" xfId="261"/>
    <cellStyle name="20% - Accent5" xfId="58" builtinId="46" customBuiltin="1"/>
    <cellStyle name="20% - Accent5 2" xfId="102"/>
    <cellStyle name="20% - Accent5 3" xfId="164"/>
    <cellStyle name="20% - Accent5 4" xfId="210"/>
    <cellStyle name="20% - Accent5 5" xfId="265"/>
    <cellStyle name="20% - Accent6" xfId="62" builtinId="50" customBuiltin="1"/>
    <cellStyle name="20% - Accent6 2" xfId="106"/>
    <cellStyle name="20% - Accent6 3" xfId="168"/>
    <cellStyle name="20% - Accent6 4" xfId="214"/>
    <cellStyle name="20% - Accent6 5" xfId="269"/>
    <cellStyle name="40% - Accent1" xfId="45" builtinId="31" customBuiltin="1"/>
    <cellStyle name="40% - Accent1 2" xfId="89"/>
    <cellStyle name="40% - Accent1 3" xfId="151"/>
    <cellStyle name="40% - Accent1 4" xfId="197"/>
    <cellStyle name="40% - Accent1 5" xfId="252"/>
    <cellStyle name="40% - Accent2" xfId="48" builtinId="35" customBuiltin="1"/>
    <cellStyle name="40% - Accent2 2" xfId="92"/>
    <cellStyle name="40% - Accent2 3" xfId="154"/>
    <cellStyle name="40% - Accent2 4" xfId="200"/>
    <cellStyle name="40% - Accent2 5" xfId="255"/>
    <cellStyle name="40% - Accent3" xfId="51" builtinId="39" customBuiltin="1"/>
    <cellStyle name="40% - Accent3 2" xfId="95"/>
    <cellStyle name="40% - Accent3 3" xfId="157"/>
    <cellStyle name="40% - Accent3 4" xfId="203"/>
    <cellStyle name="40% - Accent3 5" xfId="258"/>
    <cellStyle name="40% - Accent4" xfId="55" builtinId="43" customBuiltin="1"/>
    <cellStyle name="40% - Accent4 2" xfId="99"/>
    <cellStyle name="40% - Accent4 3" xfId="161"/>
    <cellStyle name="40% - Accent4 4" xfId="207"/>
    <cellStyle name="40% - Accent4 5" xfId="262"/>
    <cellStyle name="40% - Accent5" xfId="59" builtinId="47" customBuiltin="1"/>
    <cellStyle name="40% - Accent5 2" xfId="103"/>
    <cellStyle name="40% - Accent5 3" xfId="165"/>
    <cellStyle name="40% - Accent5 4" xfId="211"/>
    <cellStyle name="40% - Accent5 5" xfId="266"/>
    <cellStyle name="40% - Accent6" xfId="63" builtinId="51" customBuiltin="1"/>
    <cellStyle name="40% - Accent6 2" xfId="107"/>
    <cellStyle name="40% - Accent6 3" xfId="169"/>
    <cellStyle name="40% - Accent6 4" xfId="215"/>
    <cellStyle name="40% - Accent6 5" xfId="270"/>
    <cellStyle name="60% - Accent1" xfId="46" builtinId="32" customBuiltin="1"/>
    <cellStyle name="60% - Accent1 2" xfId="90"/>
    <cellStyle name="60% - Accent1 3" xfId="152"/>
    <cellStyle name="60% - Accent1 4" xfId="198"/>
    <cellStyle name="60% - Accent1 5" xfId="253"/>
    <cellStyle name="60% - Accent2" xfId="49" builtinId="36" customBuiltin="1"/>
    <cellStyle name="60% - Accent2 2" xfId="93"/>
    <cellStyle name="60% - Accent2 3" xfId="155"/>
    <cellStyle name="60% - Accent2 4" xfId="201"/>
    <cellStyle name="60% - Accent2 5" xfId="256"/>
    <cellStyle name="60% - Accent3" xfId="52" builtinId="40" customBuiltin="1"/>
    <cellStyle name="60% - Accent3 2" xfId="96"/>
    <cellStyle name="60% - Accent3 3" xfId="158"/>
    <cellStyle name="60% - Accent3 4" xfId="204"/>
    <cellStyle name="60% - Accent3 5" xfId="259"/>
    <cellStyle name="60% - Accent4" xfId="56" builtinId="44" customBuiltin="1"/>
    <cellStyle name="60% - Accent4 2" xfId="100"/>
    <cellStyle name="60% - Accent4 3" xfId="162"/>
    <cellStyle name="60% - Accent4 4" xfId="208"/>
    <cellStyle name="60% - Accent4 5" xfId="263"/>
    <cellStyle name="60% - Accent5" xfId="60" builtinId="48" customBuiltin="1"/>
    <cellStyle name="60% - Accent5 2" xfId="104"/>
    <cellStyle name="60% - Accent5 3" xfId="166"/>
    <cellStyle name="60% - Accent5 4" xfId="212"/>
    <cellStyle name="60% - Accent5 5" xfId="267"/>
    <cellStyle name="60% - Accent6" xfId="64" builtinId="52" customBuiltin="1"/>
    <cellStyle name="60% - Accent6 2" xfId="108"/>
    <cellStyle name="60% - Accent6 3" xfId="170"/>
    <cellStyle name="60% - Accent6 4" xfId="216"/>
    <cellStyle name="60% - Accent6 5" xfId="271"/>
    <cellStyle name="Accent1" xfId="43" builtinId="29" customBuiltin="1"/>
    <cellStyle name="Accent1 2" xfId="13"/>
    <cellStyle name="Accent1 3" xfId="87"/>
    <cellStyle name="Accent1 4" xfId="149"/>
    <cellStyle name="Accent1 5" xfId="195"/>
    <cellStyle name="Accent1 6" xfId="250"/>
    <cellStyle name="Accent2" xfId="2" builtinId="33" customBuiltin="1"/>
    <cellStyle name="Accent2 2" xfId="68"/>
    <cellStyle name="Accent2 2 5" xfId="121"/>
    <cellStyle name="Accent2 3" xfId="130"/>
    <cellStyle name="Accent2 4" xfId="176"/>
    <cellStyle name="Accent2 5" xfId="231"/>
    <cellStyle name="Accent3" xfId="3" builtinId="37" customBuiltin="1"/>
    <cellStyle name="Accent3 2" xfId="69"/>
    <cellStyle name="Accent3 3" xfId="131"/>
    <cellStyle name="Accent3 4" xfId="177"/>
    <cellStyle name="Accent3 5" xfId="122"/>
    <cellStyle name="Accent3 6" xfId="232"/>
    <cellStyle name="Accent4" xfId="53" builtinId="41" customBuiltin="1"/>
    <cellStyle name="Accent4 2" xfId="97"/>
    <cellStyle name="Accent4 3" xfId="159"/>
    <cellStyle name="Accent4 4" xfId="205"/>
    <cellStyle name="Accent4 5" xfId="260"/>
    <cellStyle name="Accent5" xfId="57" builtinId="45" customBuiltin="1"/>
    <cellStyle name="Accent5 2" xfId="101"/>
    <cellStyle name="Accent5 3" xfId="163"/>
    <cellStyle name="Accent5 4" xfId="209"/>
    <cellStyle name="Accent5 5" xfId="264"/>
    <cellStyle name="Accent6" xfId="61" builtinId="49" customBuiltin="1"/>
    <cellStyle name="Accent6 2" xfId="105"/>
    <cellStyle name="Accent6 3" xfId="167"/>
    <cellStyle name="Accent6 4" xfId="213"/>
    <cellStyle name="Accent6 5" xfId="268"/>
    <cellStyle name="Bad" xfId="34" builtinId="27" customBuiltin="1"/>
    <cellStyle name="Bad 2" xfId="78"/>
    <cellStyle name="Bad 3" xfId="140"/>
    <cellStyle name="Bad 4" xfId="186"/>
    <cellStyle name="Bad 5" xfId="241"/>
    <cellStyle name="Calculation" xfId="37" builtinId="22" customBuiltin="1"/>
    <cellStyle name="Calculation 2" xfId="81"/>
    <cellStyle name="Calculation 3" xfId="143"/>
    <cellStyle name="Calculation 4" xfId="189"/>
    <cellStyle name="Calculation 5" xfId="244"/>
    <cellStyle name="Check Cell" xfId="39" builtinId="23" customBuiltin="1"/>
    <cellStyle name="Check Cell 2" xfId="83"/>
    <cellStyle name="Check Cell 3" xfId="145"/>
    <cellStyle name="Check Cell 4" xfId="191"/>
    <cellStyle name="Check Cell 5" xfId="246"/>
    <cellStyle name="Comma" xfId="1" builtinId="3"/>
    <cellStyle name="Comma 2" xfId="6"/>
    <cellStyle name="Comma 3" xfId="18"/>
    <cellStyle name="Comma 4" xfId="20"/>
    <cellStyle name="Comma 5" xfId="67"/>
    <cellStyle name="Comma 6" xfId="129"/>
    <cellStyle name="Comma 7" xfId="175"/>
    <cellStyle name="Comma 8" xfId="230"/>
    <cellStyle name="Currency 2" xfId="12"/>
    <cellStyle name="dataWrappedLeftAlignStyle" xfId="10"/>
    <cellStyle name="Explanatory Text" xfId="41" builtinId="53" customBuiltin="1"/>
    <cellStyle name="Explanatory Text 2" xfId="85"/>
    <cellStyle name="Explanatory Text 3" xfId="147"/>
    <cellStyle name="Explanatory Text 4" xfId="193"/>
    <cellStyle name="Explanatory Text 5" xfId="248"/>
    <cellStyle name="Good" xfId="33" builtinId="26" customBuiltin="1"/>
    <cellStyle name="Good 2" xfId="77"/>
    <cellStyle name="Good 3" xfId="139"/>
    <cellStyle name="Good 4" xfId="185"/>
    <cellStyle name="Good 5" xfId="240"/>
    <cellStyle name="Heading 1" xfId="29" builtinId="16" customBuiltin="1"/>
    <cellStyle name="Heading 1 2" xfId="73"/>
    <cellStyle name="Heading 1 3" xfId="135"/>
    <cellStyle name="Heading 1 4" xfId="181"/>
    <cellStyle name="Heading 1 5" xfId="236"/>
    <cellStyle name="Heading 2" xfId="30" builtinId="17" customBuiltin="1"/>
    <cellStyle name="Heading 2 2" xfId="74"/>
    <cellStyle name="Heading 2 3" xfId="136"/>
    <cellStyle name="Heading 2 4" xfId="182"/>
    <cellStyle name="Heading 2 5" xfId="237"/>
    <cellStyle name="Heading 3" xfId="31" builtinId="18" customBuiltin="1"/>
    <cellStyle name="Heading 3 2" xfId="75"/>
    <cellStyle name="Heading 3 3" xfId="137"/>
    <cellStyle name="Heading 3 4" xfId="183"/>
    <cellStyle name="Heading 3 5" xfId="238"/>
    <cellStyle name="Heading 4" xfId="32" builtinId="19" customBuiltin="1"/>
    <cellStyle name="Heading 4 2" xfId="76"/>
    <cellStyle name="Heading 4 3" xfId="138"/>
    <cellStyle name="Heading 4 4" xfId="184"/>
    <cellStyle name="Heading 4 5" xfId="239"/>
    <cellStyle name="Hyperlink" xfId="27" builtinId="8"/>
    <cellStyle name="Hyperlink 2" xfId="16"/>
    <cellStyle name="Hyperlink 2 2" xfId="117"/>
    <cellStyle name="Hyperlink 3" xfId="24"/>
    <cellStyle name="Input" xfId="5" builtinId="20" customBuiltin="1"/>
    <cellStyle name="Input 2" xfId="71"/>
    <cellStyle name="Input 3" xfId="133"/>
    <cellStyle name="Input 4" xfId="179"/>
    <cellStyle name="Input 5" xfId="234"/>
    <cellStyle name="Linked Cell" xfId="38" builtinId="24" customBuiltin="1"/>
    <cellStyle name="Linked Cell 2" xfId="82"/>
    <cellStyle name="Linked Cell 3" xfId="144"/>
    <cellStyle name="Linked Cell 4" xfId="190"/>
    <cellStyle name="Linked Cell 5" xfId="245"/>
    <cellStyle name="Neutral" xfId="35" builtinId="28" customBuiltin="1"/>
    <cellStyle name="Neutral 2" xfId="14"/>
    <cellStyle name="Neutral 3" xfId="79"/>
    <cellStyle name="Neutral 4" xfId="141"/>
    <cellStyle name="Neutral 5" xfId="187"/>
    <cellStyle name="Neutral 6" xfId="242"/>
    <cellStyle name="Normal" xfId="0" builtinId="0"/>
    <cellStyle name="Normal 10" xfId="173"/>
    <cellStyle name="Normal 10 2" xfId="277"/>
    <cellStyle name="Normal 11" xfId="222"/>
    <cellStyle name="Normal 11 2" xfId="283"/>
    <cellStyle name="Normal 12" xfId="229"/>
    <cellStyle name="Normal 13" xfId="228"/>
    <cellStyle name="Normal 2" xfId="7"/>
    <cellStyle name="Normal 2 2" xfId="110"/>
    <cellStyle name="Normal 3" xfId="17"/>
    <cellStyle name="Normal 3 2" xfId="125"/>
    <cellStyle name="Normal 36" xfId="123"/>
    <cellStyle name="Normal 4" xfId="21"/>
    <cellStyle name="Normal 4 2" xfId="126"/>
    <cellStyle name="Normal 5" xfId="66"/>
    <cellStyle name="Normal 6" xfId="65"/>
    <cellStyle name="Normal 6 2" xfId="109"/>
    <cellStyle name="Normal 6 2 2" xfId="172"/>
    <cellStyle name="Normal 6 2 2 2" xfId="221"/>
    <cellStyle name="Normal 6 2 2 2 2" xfId="282"/>
    <cellStyle name="Normal 6 2 2 3" xfId="227"/>
    <cellStyle name="Normal 6 2 2 3 2" xfId="288"/>
    <cellStyle name="Normal 6 2 2 4" xfId="276"/>
    <cellStyle name="Normal 6 2 3" xfId="218"/>
    <cellStyle name="Normal 6 2 3 2" xfId="279"/>
    <cellStyle name="Normal 6 2 4" xfId="224"/>
    <cellStyle name="Normal 6 2 4 2" xfId="285"/>
    <cellStyle name="Normal 6 2 5" xfId="273"/>
    <cellStyle name="Normal 6 3" xfId="171"/>
    <cellStyle name="Normal 6 3 2" xfId="220"/>
    <cellStyle name="Normal 6 3 2 2" xfId="281"/>
    <cellStyle name="Normal 6 3 3" xfId="226"/>
    <cellStyle name="Normal 6 3 3 2" xfId="287"/>
    <cellStyle name="Normal 6 3 4" xfId="275"/>
    <cellStyle name="Normal 6 4" xfId="217"/>
    <cellStyle name="Normal 6 4 2" xfId="278"/>
    <cellStyle name="Normal 6 5" xfId="223"/>
    <cellStyle name="Normal 6 5 2" xfId="284"/>
    <cellStyle name="Normal 6 6" xfId="272"/>
    <cellStyle name="Normal 7" xfId="128"/>
    <cellStyle name="Normal 8" xfId="127"/>
    <cellStyle name="Normal 8 2" xfId="219"/>
    <cellStyle name="Normal 8 2 2" xfId="280"/>
    <cellStyle name="Normal 8 3" xfId="225"/>
    <cellStyle name="Normal 8 3 2" xfId="286"/>
    <cellStyle name="Normal 8 4" xfId="274"/>
    <cellStyle name="Normal 9" xfId="174"/>
    <cellStyle name="Note" xfId="9" builtinId="10" customBuiltin="1"/>
    <cellStyle name="Note 2" xfId="22"/>
    <cellStyle name="Note 3" xfId="72"/>
    <cellStyle name="Note 4" xfId="134"/>
    <cellStyle name="Note 5" xfId="180"/>
    <cellStyle name="Note 6" xfId="235"/>
    <cellStyle name="Output" xfId="36" builtinId="21" customBuiltin="1"/>
    <cellStyle name="Output 2" xfId="80"/>
    <cellStyle name="Output 3" xfId="142"/>
    <cellStyle name="Output 4" xfId="188"/>
    <cellStyle name="Output 5" xfId="243"/>
    <cellStyle name="Percent" xfId="4" builtinId="5"/>
    <cellStyle name="Percent 2" xfId="8"/>
    <cellStyle name="Percent 21" xfId="124"/>
    <cellStyle name="Percent 3" xfId="19"/>
    <cellStyle name="Percent 4" xfId="23"/>
    <cellStyle name="Percent 5" xfId="70"/>
    <cellStyle name="Percent 6" xfId="132"/>
    <cellStyle name="Percent 7" xfId="178"/>
    <cellStyle name="Percent 8" xfId="233"/>
    <cellStyle name="RISKnormHeading" xfId="112"/>
    <cellStyle name="RISKnormLabel" xfId="113"/>
    <cellStyle name="RISKnormLabel 2" xfId="115"/>
    <cellStyle name="RISKnormTitle" xfId="111"/>
    <cellStyle name="RISKtopEdge" xfId="114"/>
    <cellStyle name="RISKtopEdge 2" xfId="116"/>
    <cellStyle name="Source Superscript" xfId="119"/>
    <cellStyle name="Source Text" xfId="25"/>
    <cellStyle name="Source Text 2" xfId="118"/>
    <cellStyle name="Title" xfId="28" builtinId="15" customBuiltin="1"/>
    <cellStyle name="Title-2" xfId="26"/>
    <cellStyle name="Title-2 2" xfId="120"/>
    <cellStyle name="titleStyle" xfId="11"/>
    <cellStyle name="TNRoman" xfId="15"/>
    <cellStyle name="Total" xfId="42" builtinId="25" customBuiltin="1"/>
    <cellStyle name="Total 2" xfId="86"/>
    <cellStyle name="Total 3" xfId="148"/>
    <cellStyle name="Total 4" xfId="194"/>
    <cellStyle name="Total 5" xfId="249"/>
    <cellStyle name="Warning Text" xfId="40" builtinId="11" customBuiltin="1"/>
    <cellStyle name="Warning Text 2" xfId="84"/>
    <cellStyle name="Warning Text 3" xfId="146"/>
    <cellStyle name="Warning Text 4" xfId="192"/>
    <cellStyle name="Warning Text 5" xfId="247"/>
  </cellStyles>
  <dxfs count="3"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2"/>
      <tableStyleElement type="headerRow" dxfId="1"/>
    </tableStyle>
  </tableStyles>
  <colors>
    <mruColors>
      <color rgb="FF99CC00"/>
      <color rgb="FF99CCFF"/>
      <color rgb="FF4F81BD"/>
      <color rgb="FF1F497D"/>
      <color rgb="FFC82323"/>
      <color rgb="FF76933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'Transit-AltFuelER'!$Z$37:$Z$67</c:f>
              <c:numCache>
                <c:formatCode>General</c:formatCode>
                <c:ptCount val="31"/>
                <c:pt idx="0">
                  <c:v>0.24297114206129686</c:v>
                </c:pt>
                <c:pt idx="1">
                  <c:v>0.2583512448386725</c:v>
                </c:pt>
                <c:pt idx="2">
                  <c:v>0.25842992711488583</c:v>
                </c:pt>
                <c:pt idx="3">
                  <c:v>0.25850332854269092</c:v>
                </c:pt>
                <c:pt idx="4">
                  <c:v>0.25857221089980847</c:v>
                </c:pt>
                <c:pt idx="5">
                  <c:v>0.25864311997960154</c:v>
                </c:pt>
                <c:pt idx="6">
                  <c:v>0.25870891131810048</c:v>
                </c:pt>
                <c:pt idx="7">
                  <c:v>0.25877194628064659</c:v>
                </c:pt>
                <c:pt idx="8">
                  <c:v>0.19348736718821105</c:v>
                </c:pt>
                <c:pt idx="9">
                  <c:v>0.23966141351605835</c:v>
                </c:pt>
                <c:pt idx="10">
                  <c:v>0.23974775657762795</c:v>
                </c:pt>
                <c:pt idx="11">
                  <c:v>0.23982912325321926</c:v>
                </c:pt>
                <c:pt idx="12">
                  <c:v>0.23990412757356822</c:v>
                </c:pt>
                <c:pt idx="13">
                  <c:v>0.41421550078559416</c:v>
                </c:pt>
                <c:pt idx="14">
                  <c:v>0.41442876669076761</c:v>
                </c:pt>
                <c:pt idx="15">
                  <c:v>0.41464366447758272</c:v>
                </c:pt>
                <c:pt idx="16">
                  <c:v>0.41484507648246344</c:v>
                </c:pt>
                <c:pt idx="17">
                  <c:v>0.81821373411007103</c:v>
                </c:pt>
                <c:pt idx="18">
                  <c:v>0.81934352797257415</c:v>
                </c:pt>
                <c:pt idx="19">
                  <c:v>0.82007804775749971</c:v>
                </c:pt>
                <c:pt idx="20">
                  <c:v>2.2075057009047296</c:v>
                </c:pt>
                <c:pt idx="21">
                  <c:v>2.39495885066159</c:v>
                </c:pt>
                <c:pt idx="22">
                  <c:v>2.4007361384027281</c:v>
                </c:pt>
                <c:pt idx="23">
                  <c:v>2.9076352138657811</c:v>
                </c:pt>
                <c:pt idx="24">
                  <c:v>2.9155065429517268</c:v>
                </c:pt>
                <c:pt idx="25">
                  <c:v>2.7330534255161596</c:v>
                </c:pt>
                <c:pt idx="26">
                  <c:v>2.7406798574621254</c:v>
                </c:pt>
                <c:pt idx="27">
                  <c:v>3.148795670074513</c:v>
                </c:pt>
                <c:pt idx="28">
                  <c:v>3.15854834392825</c:v>
                </c:pt>
                <c:pt idx="29">
                  <c:v>3.167733615625854</c:v>
                </c:pt>
                <c:pt idx="30">
                  <c:v>3.1767809098029223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12-4846-8592-588F3C091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842896"/>
        <c:axId val="1516838000"/>
      </c:lineChart>
      <c:catAx>
        <c:axId val="151684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6838000"/>
        <c:crosses val="autoZero"/>
        <c:auto val="1"/>
        <c:lblAlgn val="ctr"/>
        <c:lblOffset val="100"/>
        <c:noMultiLvlLbl val="0"/>
      </c:catAx>
      <c:valAx>
        <c:axId val="1516838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684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jpg"/><Relationship Id="rId7" Type="http://schemas.openxmlformats.org/officeDocument/2006/relationships/image" Target="../media/image7.emf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jpg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1714500</xdr:colOff>
      <xdr:row>130</xdr:row>
      <xdr:rowOff>89647</xdr:rowOff>
    </xdr:from>
    <xdr:to>
      <xdr:col>1</xdr:col>
      <xdr:colOff>1860178</xdr:colOff>
      <xdr:row>134</xdr:row>
      <xdr:rowOff>142741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13615147"/>
          <a:ext cx="2229972" cy="81509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112054</xdr:colOff>
      <xdr:row>139</xdr:row>
      <xdr:rowOff>44824</xdr:rowOff>
    </xdr:from>
    <xdr:to>
      <xdr:col>1</xdr:col>
      <xdr:colOff>2140319</xdr:colOff>
      <xdr:row>147</xdr:row>
      <xdr:rowOff>109961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883" t="11845" r="11218" b="35025"/>
        <a:stretch/>
      </xdr:blipFill>
      <xdr:spPr>
        <a:xfrm rot="16200000">
          <a:off x="1373765" y="26315966"/>
          <a:ext cx="1589137" cy="41125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347381</xdr:colOff>
      <xdr:row>139</xdr:row>
      <xdr:rowOff>33619</xdr:rowOff>
    </xdr:from>
    <xdr:to>
      <xdr:col>5</xdr:col>
      <xdr:colOff>1263311</xdr:colOff>
      <xdr:row>147</xdr:row>
      <xdr:rowOff>100855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40" t="10252" r="57796" b="39802"/>
        <a:stretch/>
      </xdr:blipFill>
      <xdr:spPr>
        <a:xfrm rot="16200000">
          <a:off x="6049699" y="25954301"/>
          <a:ext cx="1591236" cy="481557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112059</xdr:colOff>
      <xdr:row>148</xdr:row>
      <xdr:rowOff>134471</xdr:rowOff>
    </xdr:from>
    <xdr:to>
      <xdr:col>1</xdr:col>
      <xdr:colOff>2171380</xdr:colOff>
      <xdr:row>156</xdr:row>
      <xdr:rowOff>179297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62" t="28928" r="23870" b="20981"/>
        <a:stretch/>
      </xdr:blipFill>
      <xdr:spPr>
        <a:xfrm rot="16200000">
          <a:off x="1399454" y="28094429"/>
          <a:ext cx="1568826" cy="414361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392202</xdr:colOff>
      <xdr:row>148</xdr:row>
      <xdr:rowOff>104870</xdr:rowOff>
    </xdr:from>
    <xdr:to>
      <xdr:col>5</xdr:col>
      <xdr:colOff>1235862</xdr:colOff>
      <xdr:row>157</xdr:row>
      <xdr:rowOff>11206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49" y="29352223"/>
          <a:ext cx="4743307" cy="162083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100853</xdr:colOff>
      <xdr:row>159</xdr:row>
      <xdr:rowOff>78440</xdr:rowOff>
    </xdr:from>
    <xdr:to>
      <xdr:col>7</xdr:col>
      <xdr:colOff>690843</xdr:colOff>
      <xdr:row>182</xdr:row>
      <xdr:rowOff>84790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739" t="29368" r="20883" b="26753"/>
        <a:stretch/>
      </xdr:blipFill>
      <xdr:spPr>
        <a:xfrm>
          <a:off x="100853" y="31421293"/>
          <a:ext cx="12277725" cy="4387850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183</xdr:row>
      <xdr:rowOff>78442</xdr:rowOff>
    </xdr:from>
    <xdr:to>
      <xdr:col>4</xdr:col>
      <xdr:colOff>747926</xdr:colOff>
      <xdr:row>235</xdr:row>
      <xdr:rowOff>180550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3" y="35993295"/>
          <a:ext cx="7740396" cy="100081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123265</xdr:rowOff>
    </xdr:from>
    <xdr:to>
      <xdr:col>5</xdr:col>
      <xdr:colOff>35159</xdr:colOff>
      <xdr:row>282</xdr:row>
      <xdr:rowOff>182796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53177"/>
          <a:ext cx="8484394" cy="2726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898712</xdr:colOff>
      <xdr:row>98</xdr:row>
      <xdr:rowOff>27174</xdr:rowOff>
    </xdr:from>
    <xdr:to>
      <xdr:col>5</xdr:col>
      <xdr:colOff>477231</xdr:colOff>
      <xdr:row>115</xdr:row>
      <xdr:rowOff>112900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3006" y="24388762"/>
          <a:ext cx="5943460" cy="3705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14147</xdr:colOff>
      <xdr:row>84</xdr:row>
      <xdr:rowOff>0</xdr:rowOff>
    </xdr:from>
    <xdr:to>
      <xdr:col>5</xdr:col>
      <xdr:colOff>61212</xdr:colOff>
      <xdr:row>96</xdr:row>
      <xdr:rowOff>154920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" y="24171088"/>
          <a:ext cx="8496300" cy="2709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862853</xdr:colOff>
      <xdr:row>83</xdr:row>
      <xdr:rowOff>78021</xdr:rowOff>
    </xdr:from>
    <xdr:to>
      <xdr:col>10</xdr:col>
      <xdr:colOff>613662</xdr:colOff>
      <xdr:row>116</xdr:row>
      <xdr:rowOff>143680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2647" y="24036197"/>
          <a:ext cx="6888956" cy="7091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386043</xdr:colOff>
      <xdr:row>71</xdr:row>
      <xdr:rowOff>168368</xdr:rowOff>
    </xdr:from>
    <xdr:to>
      <xdr:col>24</xdr:col>
      <xdr:colOff>889747</xdr:colOff>
      <xdr:row>86</xdr:row>
      <xdr:rowOff>54068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dels/COMMUTER/COMMUTER_v20/COMMUTER_v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dels\COMMUTER\COMMUTER_v20\COMMUTER_v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8623%20-%20NJTPA_GHGRedctPln\001\Task%202\Analysis\NJTPA-GHGInv&amp;ForecastToolv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ndrakanti/Desktop/TC_CWW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-M"/>
      <sheetName val="Load-M"/>
      <sheetName val="MenuOps-M"/>
      <sheetName val="Utils-M"/>
      <sheetName val="WinMenu"/>
      <sheetName val="Splash"/>
      <sheetName val="Layout"/>
      <sheetName val="Status"/>
      <sheetName val="Defaults"/>
      <sheetName val="Inputs"/>
      <sheetName val="TravCalcs"/>
      <sheetName val="EmisCalcs"/>
      <sheetName val="Results"/>
      <sheetName val="ModeCht"/>
      <sheetName val="ScenarioEFs"/>
      <sheetName val="User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>
        <row r="95">
          <cell r="K95">
            <v>1.5</v>
          </cell>
        </row>
        <row r="103">
          <cell r="J103">
            <v>2</v>
          </cell>
          <cell r="K103">
            <v>0.28699999999999998</v>
          </cell>
        </row>
        <row r="104">
          <cell r="J104">
            <v>2.5</v>
          </cell>
          <cell r="K104">
            <v>0.192</v>
          </cell>
        </row>
        <row r="105">
          <cell r="J105">
            <v>3</v>
          </cell>
          <cell r="K105">
            <v>0.13900000000000001</v>
          </cell>
        </row>
        <row r="106">
          <cell r="J106">
            <v>3.5</v>
          </cell>
          <cell r="K106">
            <v>0.106</v>
          </cell>
        </row>
        <row r="107">
          <cell r="J107">
            <v>4</v>
          </cell>
          <cell r="K107">
            <v>8.5000000000000006E-2</v>
          </cell>
        </row>
        <row r="108">
          <cell r="J108">
            <v>4.5</v>
          </cell>
          <cell r="K108">
            <v>7.0999999999999994E-2</v>
          </cell>
        </row>
        <row r="109">
          <cell r="J109">
            <v>5</v>
          </cell>
          <cell r="K109">
            <v>0.06</v>
          </cell>
        </row>
        <row r="211">
          <cell r="AS211">
            <v>1</v>
          </cell>
          <cell r="AT211" t="str">
            <v>Large (over 2 million)</v>
          </cell>
        </row>
        <row r="212">
          <cell r="AS212">
            <v>2</v>
          </cell>
          <cell r="AT212" t="str">
            <v>Medium (750,000 to 2 million)</v>
          </cell>
        </row>
        <row r="213">
          <cell r="AS213">
            <v>3</v>
          </cell>
          <cell r="AT213" t="str">
            <v>Small (under 750,000)</v>
          </cell>
        </row>
        <row r="223">
          <cell r="AS223">
            <v>1</v>
          </cell>
          <cell r="AT223" t="str">
            <v>Area-Wide (e.g., MSA, county)</v>
          </cell>
        </row>
        <row r="224">
          <cell r="AS224">
            <v>2</v>
          </cell>
          <cell r="AT224" t="str">
            <v>Site or Employer-Based</v>
          </cell>
        </row>
      </sheetData>
      <sheetData sheetId="9">
        <row r="20">
          <cell r="I20" t="str">
            <v>Large-High.vme</v>
          </cell>
        </row>
        <row r="29">
          <cell r="I29">
            <v>1</v>
          </cell>
        </row>
        <row r="34">
          <cell r="I34">
            <v>1</v>
          </cell>
        </row>
        <row r="43">
          <cell r="I43">
            <v>1000</v>
          </cell>
        </row>
      </sheetData>
      <sheetData sheetId="10">
        <row r="49">
          <cell r="N49">
            <v>1288.8568292814202</v>
          </cell>
          <cell r="O49">
            <v>1284.8111771022213</v>
          </cell>
          <cell r="P49">
            <v>-4.0456521791988775</v>
          </cell>
          <cell r="S49">
            <v>16741.050806287432</v>
          </cell>
          <cell r="T49">
            <v>16691.854552837362</v>
          </cell>
          <cell r="U49">
            <v>-49.196253450070799</v>
          </cell>
        </row>
        <row r="55">
          <cell r="N55">
            <v>791.35809317879205</v>
          </cell>
          <cell r="O55">
            <v>788.87406274076386</v>
          </cell>
          <cell r="P55">
            <v>-2.4840304380281109</v>
          </cell>
          <cell r="S55">
            <v>10279.005195060483</v>
          </cell>
          <cell r="T55">
            <v>10248.798695442139</v>
          </cell>
          <cell r="U55">
            <v>-30.206499618343472</v>
          </cell>
        </row>
        <row r="56">
          <cell r="N56">
            <v>497.49873610262819</v>
          </cell>
          <cell r="O56">
            <v>495.93711436145747</v>
          </cell>
          <cell r="P56">
            <v>-1.5616217411707667</v>
          </cell>
          <cell r="S56">
            <v>6462.0456112269494</v>
          </cell>
          <cell r="T56">
            <v>6443.0558573952221</v>
          </cell>
          <cell r="U56">
            <v>-18.989753831727327</v>
          </cell>
        </row>
      </sheetData>
      <sheetData sheetId="11"/>
      <sheetData sheetId="12"/>
      <sheetData sheetId="13" refreshError="1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-M"/>
      <sheetName val="Load-M"/>
      <sheetName val="MenuOps-M"/>
      <sheetName val="Utils-M"/>
      <sheetName val="WinMenu"/>
      <sheetName val="Splash"/>
      <sheetName val="Layout"/>
      <sheetName val="Status"/>
      <sheetName val="Defaults"/>
      <sheetName val="Inputs"/>
      <sheetName val="TravCalcs"/>
      <sheetName val="EmisCalcs"/>
      <sheetName val="Results"/>
      <sheetName val="ModeCht"/>
      <sheetName val="ScenarioEFs"/>
      <sheetName val="User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>
        <row r="95">
          <cell r="K95">
            <v>1.5</v>
          </cell>
        </row>
        <row r="103">
          <cell r="J103">
            <v>2</v>
          </cell>
          <cell r="K103">
            <v>0.28699999999999998</v>
          </cell>
        </row>
        <row r="104">
          <cell r="J104">
            <v>2.5</v>
          </cell>
          <cell r="K104">
            <v>0.192</v>
          </cell>
        </row>
        <row r="105">
          <cell r="J105">
            <v>3</v>
          </cell>
          <cell r="K105">
            <v>0.13900000000000001</v>
          </cell>
        </row>
        <row r="106">
          <cell r="J106">
            <v>3.5</v>
          </cell>
          <cell r="K106">
            <v>0.106</v>
          </cell>
        </row>
        <row r="107">
          <cell r="J107">
            <v>4</v>
          </cell>
          <cell r="K107">
            <v>8.5000000000000006E-2</v>
          </cell>
        </row>
        <row r="108">
          <cell r="J108">
            <v>4.5</v>
          </cell>
          <cell r="K108">
            <v>7.0999999999999994E-2</v>
          </cell>
        </row>
        <row r="109">
          <cell r="J109">
            <v>5</v>
          </cell>
          <cell r="K109">
            <v>0.06</v>
          </cell>
        </row>
        <row r="211">
          <cell r="AS211">
            <v>1</v>
          </cell>
          <cell r="AT211" t="str">
            <v>Large (over 2 million)</v>
          </cell>
        </row>
        <row r="212">
          <cell r="AS212">
            <v>2</v>
          </cell>
          <cell r="AT212" t="str">
            <v>Medium (750,000 to 2 million)</v>
          </cell>
        </row>
        <row r="213">
          <cell r="AS213">
            <v>3</v>
          </cell>
          <cell r="AT213" t="str">
            <v>Small (under 750,000)</v>
          </cell>
        </row>
        <row r="223">
          <cell r="AS223">
            <v>1</v>
          </cell>
          <cell r="AT223" t="str">
            <v>Area-Wide (e.g., MSA, county)</v>
          </cell>
        </row>
        <row r="224">
          <cell r="AS224">
            <v>2</v>
          </cell>
          <cell r="AT224" t="str">
            <v>Site or Employer-Based</v>
          </cell>
        </row>
      </sheetData>
      <sheetData sheetId="9">
        <row r="20">
          <cell r="I20" t="str">
            <v>Large-High.vme</v>
          </cell>
        </row>
        <row r="29">
          <cell r="I29">
            <v>1</v>
          </cell>
        </row>
        <row r="34">
          <cell r="I34">
            <v>1</v>
          </cell>
        </row>
        <row r="43">
          <cell r="I43">
            <v>1000</v>
          </cell>
        </row>
      </sheetData>
      <sheetData sheetId="10">
        <row r="49">
          <cell r="N49">
            <v>1288.8568292814202</v>
          </cell>
          <cell r="O49">
            <v>1284.8111771022213</v>
          </cell>
          <cell r="P49">
            <v>-4.0456521791988775</v>
          </cell>
          <cell r="S49">
            <v>16741.050806287432</v>
          </cell>
          <cell r="T49">
            <v>16691.854552837362</v>
          </cell>
          <cell r="U49">
            <v>-49.196253450070799</v>
          </cell>
        </row>
        <row r="55">
          <cell r="N55">
            <v>791.35809317879205</v>
          </cell>
          <cell r="O55">
            <v>788.87406274076386</v>
          </cell>
          <cell r="P55">
            <v>-2.4840304380281109</v>
          </cell>
          <cell r="S55">
            <v>10279.005195060483</v>
          </cell>
          <cell r="T55">
            <v>10248.798695442139</v>
          </cell>
          <cell r="U55">
            <v>-30.206499618343472</v>
          </cell>
        </row>
        <row r="56">
          <cell r="N56">
            <v>497.49873610262819</v>
          </cell>
          <cell r="O56">
            <v>495.93711436145747</v>
          </cell>
          <cell r="P56">
            <v>-1.5616217411707667</v>
          </cell>
          <cell r="S56">
            <v>6462.0456112269494</v>
          </cell>
          <cell r="T56">
            <v>6443.0558573952221</v>
          </cell>
          <cell r="U56">
            <v>-18.989753831727327</v>
          </cell>
        </row>
      </sheetData>
      <sheetData sheetId="11"/>
      <sheetData sheetId="12"/>
      <sheetData sheetId="13" refreshError="1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UserAssumptions"/>
      <sheetName val="Outputs"/>
      <sheetName val="Summary"/>
      <sheetName val="I-rateperdistance_unadj"/>
      <sheetName val="I-AgeDistribution"/>
      <sheetName val="I-VehicleWeights"/>
      <sheetName val="C-Motorcycles(1)"/>
      <sheetName val="C-PassCars(2)"/>
      <sheetName val="C-LightTrucks(31)"/>
      <sheetName val="C-LightTrucks(32)"/>
      <sheetName val="C-Buses(4)"/>
      <sheetName val="C-SingleUnitTrucks(5)"/>
      <sheetName val="C-CombTrucks(6)"/>
      <sheetName val="C-AdjFactors"/>
      <sheetName val="C-rateperdistance_adjusted"/>
    </sheetNames>
    <sheetDataSet>
      <sheetData sheetId="0"/>
      <sheetData sheetId="1">
        <row r="2">
          <cell r="C2" t="str">
            <v>Baseline</v>
          </cell>
        </row>
        <row r="3">
          <cell r="C3" t="str">
            <v>AltBaselineLDV</v>
          </cell>
        </row>
        <row r="4">
          <cell r="C4" t="str">
            <v>Custom 1</v>
          </cell>
        </row>
      </sheetData>
      <sheetData sheetId="2"/>
      <sheetData sheetId="3">
        <row r="10">
          <cell r="R10">
            <v>4.6129624845241045E-2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0">
          <cell r="R10">
            <v>4.6129624845241045E-2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Employment stats"/>
      <sheetName val="research"/>
      <sheetName val="Moving Cooler unit impacts"/>
      <sheetName val="Telework"/>
      <sheetName val="Compressed Work Week"/>
      <sheetName val="OtherVariables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vtpi.org/tdm/tdm41.ht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pa.gov/otaq/stateresources/policy/420r11025.pdf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http://www.cutr.usf.edu/research/propensity.PDF" TargetMode="External"/><Relationship Id="rId1" Type="http://schemas.openxmlformats.org/officeDocument/2006/relationships/hyperlink" Target="http://www.travelbehavior.us/Nancy-pdfs/Mode%20Share.pdf" TargetMode="External"/><Relationship Id="rId6" Type="http://schemas.openxmlformats.org/officeDocument/2006/relationships/hyperlink" Target="http://www.its.ucla.edu/research/EPIC/Appendix%20A.pdf%20%5bpage%208%5d" TargetMode="External"/><Relationship Id="rId5" Type="http://schemas.openxmlformats.org/officeDocument/2006/relationships/hyperlink" Target="http://www.nctr.usf.edu/pdf/527-09.pdf%20%5bpage%2026%5d" TargetMode="External"/><Relationship Id="rId4" Type="http://schemas.openxmlformats.org/officeDocument/2006/relationships/hyperlink" Target="http://www.sciencedirect.com/science/article/pii/S1877042811010275%20,%20takes%20into%20effect%20how%20long%20transit%20hours%20of%20service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B101"/>
  <sheetViews>
    <sheetView showGridLines="0" zoomScale="85" zoomScaleNormal="85" workbookViewId="0">
      <selection activeCell="I9" sqref="I9"/>
    </sheetView>
  </sheetViews>
  <sheetFormatPr defaultRowHeight="15" x14ac:dyDescent="0.25"/>
  <cols>
    <col min="1" max="1" width="2.28515625" style="294" customWidth="1"/>
    <col min="2" max="2" width="2" style="294" customWidth="1"/>
    <col min="3" max="3" width="69.7109375" style="692" customWidth="1"/>
    <col min="4" max="4" width="15.28515625" style="294" hidden="1" customWidth="1"/>
    <col min="5" max="5" width="14.5703125" style="294" hidden="1" customWidth="1"/>
    <col min="6" max="6" width="24.28515625" style="294" bestFit="1" customWidth="1"/>
    <col min="7" max="7" width="2.28515625" style="294" customWidth="1"/>
    <col min="8" max="8" width="2.140625" style="294" customWidth="1"/>
    <col min="9" max="9" width="35.7109375" style="744" bestFit="1" customWidth="1"/>
    <col min="10" max="11" width="10.140625" style="744" customWidth="1"/>
    <col min="12" max="12" width="10" style="744" customWidth="1"/>
    <col min="13" max="15" width="9.140625" style="744"/>
    <col min="16" max="16" width="9.7109375" style="744" bestFit="1" customWidth="1"/>
    <col min="17" max="24" width="9.140625" style="744"/>
    <col min="25" max="25" width="9.140625" style="445"/>
    <col min="26" max="27" width="9.140625" style="294"/>
    <col min="28" max="28" width="20.42578125" style="294" bestFit="1" customWidth="1"/>
    <col min="29" max="16384" width="9.140625" style="294"/>
  </cols>
  <sheetData>
    <row r="1" spans="1:28" x14ac:dyDescent="0.25">
      <c r="A1" s="741"/>
      <c r="B1" s="741"/>
      <c r="C1" s="741"/>
      <c r="D1" s="741"/>
      <c r="E1" s="741"/>
      <c r="F1" s="741"/>
      <c r="G1" s="741"/>
      <c r="H1" s="741"/>
    </row>
    <row r="2" spans="1:28" ht="10.5" customHeight="1" x14ac:dyDescent="0.25">
      <c r="A2" s="741"/>
      <c r="B2" s="739"/>
      <c r="C2" s="1198"/>
      <c r="D2" s="1198"/>
      <c r="E2" s="1198"/>
      <c r="F2" s="1198"/>
      <c r="G2" s="739"/>
      <c r="H2" s="741"/>
    </row>
    <row r="3" spans="1:28" ht="26.25" x14ac:dyDescent="0.25">
      <c r="A3" s="741"/>
      <c r="B3" s="302"/>
      <c r="C3" s="1199" t="s">
        <v>794</v>
      </c>
      <c r="D3" s="1199"/>
      <c r="E3" s="1199"/>
      <c r="F3" s="1199"/>
      <c r="G3" s="480"/>
      <c r="H3" s="741"/>
    </row>
    <row r="4" spans="1:28" x14ac:dyDescent="0.25">
      <c r="A4" s="741"/>
      <c r="B4" s="302"/>
      <c r="C4" s="5"/>
      <c r="D4" s="302"/>
      <c r="E4" s="302"/>
      <c r="F4" s="302"/>
      <c r="G4" s="303"/>
      <c r="H4" s="741"/>
      <c r="AB4" s="669"/>
    </row>
    <row r="5" spans="1:28" ht="15.75" x14ac:dyDescent="0.25">
      <c r="A5" s="741"/>
      <c r="B5" s="302"/>
      <c r="C5" s="1200" t="s">
        <v>703</v>
      </c>
      <c r="D5" s="1200"/>
      <c r="E5" s="1200"/>
      <c r="F5" s="1200"/>
      <c r="G5" s="229"/>
      <c r="H5" s="741"/>
      <c r="AB5" s="669"/>
    </row>
    <row r="6" spans="1:28" ht="15.75" x14ac:dyDescent="0.25">
      <c r="A6" s="741"/>
      <c r="B6" s="302"/>
      <c r="C6" s="696" t="s">
        <v>711</v>
      </c>
      <c r="D6" s="699"/>
      <c r="E6" s="704"/>
      <c r="F6" s="696" t="s">
        <v>720</v>
      </c>
      <c r="G6" s="990"/>
      <c r="H6" s="741"/>
      <c r="AB6" s="669"/>
    </row>
    <row r="7" spans="1:28" x14ac:dyDescent="0.25">
      <c r="A7" s="741"/>
      <c r="B7" s="302"/>
      <c r="C7" s="466" t="s">
        <v>136</v>
      </c>
      <c r="D7" s="124">
        <v>2010</v>
      </c>
      <c r="E7" s="124">
        <v>2020</v>
      </c>
      <c r="F7" s="129">
        <v>2014</v>
      </c>
      <c r="G7" s="16"/>
      <c r="H7" s="741"/>
      <c r="AB7" s="669"/>
    </row>
    <row r="8" spans="1:28" x14ac:dyDescent="0.25">
      <c r="A8" s="741"/>
      <c r="B8" s="302"/>
      <c r="C8" s="443" t="s">
        <v>801</v>
      </c>
      <c r="D8" s="49">
        <f>F8</f>
        <v>80</v>
      </c>
      <c r="E8" s="49">
        <f>F8</f>
        <v>80</v>
      </c>
      <c r="F8" s="49">
        <v>80</v>
      </c>
      <c r="G8" s="684"/>
      <c r="H8" s="741"/>
      <c r="I8" s="744" t="s">
        <v>996</v>
      </c>
      <c r="AB8" s="669"/>
    </row>
    <row r="9" spans="1:28" x14ac:dyDescent="0.25">
      <c r="A9" s="741"/>
      <c r="B9" s="302"/>
      <c r="C9" s="443" t="s">
        <v>814</v>
      </c>
      <c r="D9" s="49">
        <f>F9</f>
        <v>2790</v>
      </c>
      <c r="E9" s="49">
        <f>F9</f>
        <v>2790</v>
      </c>
      <c r="F9" s="49">
        <v>2790</v>
      </c>
      <c r="G9" s="684"/>
      <c r="H9" s="741"/>
      <c r="AB9" s="669"/>
    </row>
    <row r="10" spans="1:28" x14ac:dyDescent="0.25">
      <c r="A10" s="741"/>
      <c r="B10" s="302"/>
      <c r="C10" s="348" t="s">
        <v>793</v>
      </c>
      <c r="D10" s="1000">
        <f>F10</f>
        <v>0.02</v>
      </c>
      <c r="E10" s="1000">
        <f>F10</f>
        <v>0.02</v>
      </c>
      <c r="F10" s="1000">
        <v>0.02</v>
      </c>
      <c r="G10" s="684"/>
      <c r="H10" s="741"/>
      <c r="AB10" s="669"/>
    </row>
    <row r="11" spans="1:28" x14ac:dyDescent="0.25">
      <c r="A11" s="741"/>
      <c r="B11" s="1001"/>
      <c r="C11" s="348" t="s">
        <v>796</v>
      </c>
      <c r="D11" s="51" t="str">
        <f>F11</f>
        <v>Y</v>
      </c>
      <c r="E11" s="51" t="str">
        <f>F11</f>
        <v>Y</v>
      </c>
      <c r="F11" s="51" t="s">
        <v>21</v>
      </c>
      <c r="G11" s="493"/>
      <c r="H11" s="741"/>
      <c r="AB11" s="669"/>
    </row>
    <row r="12" spans="1:28" x14ac:dyDescent="0.25">
      <c r="A12" s="741"/>
      <c r="B12" s="302"/>
      <c r="C12" s="348" t="s">
        <v>803</v>
      </c>
      <c r="D12" s="51">
        <f>F12</f>
        <v>2</v>
      </c>
      <c r="E12" s="51">
        <f>F12</f>
        <v>2</v>
      </c>
      <c r="F12" s="51">
        <v>2</v>
      </c>
      <c r="G12" s="628"/>
      <c r="H12" s="741"/>
    </row>
    <row r="13" spans="1:28" x14ac:dyDescent="0.25">
      <c r="A13" s="741"/>
      <c r="B13" s="1001"/>
      <c r="C13" s="666"/>
      <c r="D13" s="628"/>
      <c r="E13" s="628"/>
      <c r="F13" s="628"/>
      <c r="G13" s="628"/>
      <c r="H13" s="741"/>
    </row>
    <row r="14" spans="1:28" ht="15.75" x14ac:dyDescent="0.25">
      <c r="A14" s="741"/>
      <c r="B14" s="302"/>
      <c r="C14" s="1200" t="s">
        <v>799</v>
      </c>
      <c r="D14" s="1200"/>
      <c r="E14" s="1200"/>
      <c r="F14" s="1200"/>
      <c r="G14" s="10"/>
      <c r="H14" s="741"/>
    </row>
    <row r="15" spans="1:28" x14ac:dyDescent="0.25">
      <c r="A15" s="741"/>
      <c r="B15" s="302"/>
      <c r="C15" s="696" t="s">
        <v>1</v>
      </c>
      <c r="D15" s="304"/>
      <c r="E15" s="304"/>
      <c r="F15" s="696" t="s">
        <v>727</v>
      </c>
      <c r="G15" s="304"/>
      <c r="H15" s="741"/>
      <c r="AB15" s="669"/>
    </row>
    <row r="16" spans="1:28" x14ac:dyDescent="0.25">
      <c r="A16" s="741"/>
      <c r="B16" s="302"/>
      <c r="C16" s="1003" t="s">
        <v>69</v>
      </c>
      <c r="D16" s="999">
        <v>10</v>
      </c>
      <c r="E16" s="999">
        <v>10</v>
      </c>
      <c r="F16" s="999">
        <v>10</v>
      </c>
      <c r="G16" s="636"/>
      <c r="H16" s="741"/>
      <c r="AB16" s="669"/>
    </row>
    <row r="17" spans="1:28" x14ac:dyDescent="0.25">
      <c r="A17" s="741"/>
      <c r="B17" s="302"/>
      <c r="C17" s="379" t="s">
        <v>813</v>
      </c>
      <c r="D17" s="999">
        <v>250</v>
      </c>
      <c r="E17" s="999">
        <v>250</v>
      </c>
      <c r="F17" s="999">
        <v>250</v>
      </c>
      <c r="G17" s="636"/>
      <c r="H17" s="741"/>
      <c r="AB17" s="669"/>
    </row>
    <row r="18" spans="1:28" x14ac:dyDescent="0.25">
      <c r="A18" s="741"/>
      <c r="B18" s="1001"/>
      <c r="C18" s="591" t="s">
        <v>2</v>
      </c>
      <c r="D18" s="690"/>
      <c r="E18" s="690"/>
      <c r="F18" s="690"/>
      <c r="G18" s="636"/>
      <c r="H18" s="741"/>
      <c r="AB18" s="669"/>
    </row>
    <row r="19" spans="1:28" x14ac:dyDescent="0.25">
      <c r="A19" s="741"/>
      <c r="B19" s="1001"/>
      <c r="C19" s="359" t="s">
        <v>804</v>
      </c>
      <c r="D19" s="1004">
        <f>'2010ER'!AB4</f>
        <v>3750.9003016633078</v>
      </c>
      <c r="E19" s="1004">
        <f>'2020ER'!AB4</f>
        <v>3291.8135998721814</v>
      </c>
      <c r="F19" s="1005">
        <f t="shared" ref="F19:F28" si="0">TREND(D19:E19,$D$7:$E$7,$F$7)</f>
        <v>3567.2656209468696</v>
      </c>
      <c r="G19" s="636"/>
      <c r="H19" s="741"/>
      <c r="AB19" s="669"/>
    </row>
    <row r="20" spans="1:28" x14ac:dyDescent="0.25">
      <c r="A20" s="741"/>
      <c r="B20" s="1001"/>
      <c r="C20" s="359" t="s">
        <v>805</v>
      </c>
      <c r="D20" s="1004">
        <f>'2010ER'!AB5</f>
        <v>2.9522376685274958</v>
      </c>
      <c r="E20" s="1004">
        <f>'2020ER'!AB5</f>
        <v>0.93910805035104805</v>
      </c>
      <c r="F20" s="1005">
        <f t="shared" si="0"/>
        <v>2.1469858212569193</v>
      </c>
      <c r="G20" s="636"/>
      <c r="H20" s="741"/>
      <c r="AB20" s="669"/>
    </row>
    <row r="21" spans="1:28" x14ac:dyDescent="0.25">
      <c r="A21" s="741"/>
      <c r="B21" s="1001"/>
      <c r="C21" s="359" t="s">
        <v>416</v>
      </c>
      <c r="D21" s="1004">
        <f>'2010ER'!AB6</f>
        <v>0.19839204428158921</v>
      </c>
      <c r="E21" s="1004">
        <f>'2020ER'!AB6</f>
        <v>8.6560978266842434E-2</v>
      </c>
      <c r="F21" s="1005">
        <f t="shared" si="0"/>
        <v>0.15365961787568594</v>
      </c>
      <c r="G21" s="636"/>
      <c r="H21" s="741"/>
      <c r="AB21" s="669"/>
    </row>
    <row r="22" spans="1:28" x14ac:dyDescent="0.25">
      <c r="A22" s="741"/>
      <c r="B22" s="1001"/>
      <c r="C22" s="359" t="s">
        <v>806</v>
      </c>
      <c r="D22" s="1004">
        <f>'2010ER'!AB7</f>
        <v>5.755505625407392</v>
      </c>
      <c r="E22" s="1004">
        <f>'2020ER'!AB7</f>
        <v>2.5860206751293329</v>
      </c>
      <c r="F22" s="1005">
        <f t="shared" si="0"/>
        <v>4.4877116452961445</v>
      </c>
      <c r="G22" s="636"/>
      <c r="H22" s="741"/>
      <c r="AB22" s="669"/>
    </row>
    <row r="23" spans="1:28" x14ac:dyDescent="0.25">
      <c r="A23" s="741"/>
      <c r="B23" s="1001"/>
      <c r="C23" s="359" t="s">
        <v>807</v>
      </c>
      <c r="D23" s="1004">
        <f>'2010ER'!AB8</f>
        <v>2.7543105969503339</v>
      </c>
      <c r="E23" s="1004">
        <f>'2020ER'!AB8</f>
        <v>0.61583922156998427</v>
      </c>
      <c r="F23" s="1005">
        <f t="shared" si="0"/>
        <v>1.898922046798134</v>
      </c>
      <c r="G23" s="636"/>
      <c r="H23" s="741"/>
      <c r="AB23" s="669"/>
    </row>
    <row r="24" spans="1:28" x14ac:dyDescent="0.25">
      <c r="A24" s="741"/>
      <c r="B24" s="1001"/>
      <c r="C24" s="351" t="s">
        <v>808</v>
      </c>
      <c r="D24" s="1006">
        <f>'2010ER'!AL4</f>
        <v>7722.351052989884</v>
      </c>
      <c r="E24" s="1006">
        <f>'2020ER'!AL4</f>
        <v>7715.1016680449866</v>
      </c>
      <c r="F24" s="1005">
        <f t="shared" si="0"/>
        <v>7719.4512990119256</v>
      </c>
      <c r="G24" s="636"/>
      <c r="H24" s="741"/>
      <c r="K24" s="1085"/>
      <c r="L24" s="1086"/>
    </row>
    <row r="25" spans="1:28" x14ac:dyDescent="0.25">
      <c r="A25" s="741"/>
      <c r="B25" s="1001"/>
      <c r="C25" s="351" t="s">
        <v>809</v>
      </c>
      <c r="D25" s="1006">
        <f>'2010ER'!AL5</f>
        <v>71.266992895654184</v>
      </c>
      <c r="E25" s="1006">
        <f>'2020ER'!AL5</f>
        <v>28.755957883996196</v>
      </c>
      <c r="F25" s="1005">
        <f t="shared" si="0"/>
        <v>54.26257889099179</v>
      </c>
      <c r="G25" s="636"/>
      <c r="H25" s="741"/>
      <c r="K25" s="1085"/>
      <c r="L25" s="1086"/>
    </row>
    <row r="26" spans="1:28" x14ac:dyDescent="0.25">
      <c r="A26" s="741"/>
      <c r="B26" s="1001"/>
      <c r="C26" s="351" t="s">
        <v>810</v>
      </c>
      <c r="D26" s="1006">
        <f>'2010ER'!AL6</f>
        <v>4.0096486656834633</v>
      </c>
      <c r="E26" s="1006">
        <f>'2020ER'!AL6</f>
        <v>1.7179219731119526</v>
      </c>
      <c r="F26" s="1005">
        <f t="shared" si="0"/>
        <v>3.0929579886548595</v>
      </c>
      <c r="G26" s="636"/>
      <c r="H26" s="741"/>
      <c r="L26" s="1087"/>
      <c r="M26" s="1088"/>
    </row>
    <row r="27" spans="1:28" x14ac:dyDescent="0.25">
      <c r="A27" s="741"/>
      <c r="B27" s="1001"/>
      <c r="C27" s="351" t="s">
        <v>811</v>
      </c>
      <c r="D27" s="1006">
        <f>'2010ER'!AL7</f>
        <v>62.401660342818353</v>
      </c>
      <c r="E27" s="1006">
        <f>'2020ER'!AL7</f>
        <v>26.2668373090216</v>
      </c>
      <c r="F27" s="1005">
        <f t="shared" si="0"/>
        <v>47.947731129299427</v>
      </c>
      <c r="G27" s="636"/>
      <c r="H27" s="741"/>
      <c r="L27" s="1087"/>
      <c r="M27" s="1088"/>
    </row>
    <row r="28" spans="1:28" x14ac:dyDescent="0.25">
      <c r="A28" s="741"/>
      <c r="B28" s="1001"/>
      <c r="C28" s="351" t="s">
        <v>812</v>
      </c>
      <c r="D28" s="1006">
        <f>'2010ER'!AL8</f>
        <v>12.077454219452086</v>
      </c>
      <c r="E28" s="1006">
        <f>'2020ER'!AL8</f>
        <v>4.984839851937636</v>
      </c>
      <c r="F28" s="1005">
        <f t="shared" si="0"/>
        <v>9.2404084724462336</v>
      </c>
      <c r="G28" s="636"/>
      <c r="H28" s="741"/>
    </row>
    <row r="29" spans="1:28" x14ac:dyDescent="0.25">
      <c r="A29" s="741"/>
      <c r="B29" s="302"/>
      <c r="C29" s="1"/>
      <c r="D29" s="674"/>
      <c r="E29" s="674"/>
      <c r="F29" s="674"/>
      <c r="G29" s="674"/>
      <c r="H29" s="741"/>
      <c r="K29" s="1085"/>
      <c r="L29" s="1086"/>
      <c r="M29" s="1086"/>
      <c r="N29" s="1086"/>
      <c r="O29" s="1089"/>
      <c r="P29" s="1086"/>
      <c r="Q29" s="1086"/>
      <c r="R29" s="1086"/>
      <c r="S29" s="1086"/>
      <c r="T29" s="1086"/>
      <c r="U29" s="1086"/>
      <c r="V29" s="1086"/>
    </row>
    <row r="30" spans="1:28" ht="15.75" x14ac:dyDescent="0.25">
      <c r="A30" s="741"/>
      <c r="B30" s="302"/>
      <c r="C30" s="1200" t="s">
        <v>700</v>
      </c>
      <c r="D30" s="1200"/>
      <c r="E30" s="1200"/>
      <c r="F30" s="1200"/>
      <c r="G30" s="16"/>
      <c r="H30" s="741"/>
      <c r="I30" s="1090"/>
      <c r="K30" s="1085"/>
      <c r="L30" s="1091"/>
      <c r="M30" s="1085"/>
      <c r="N30" s="1086"/>
      <c r="O30" s="1086"/>
      <c r="P30" s="1085"/>
      <c r="Q30" s="1085"/>
      <c r="R30" s="1091"/>
      <c r="S30" s="1085"/>
      <c r="T30" s="1086"/>
      <c r="U30" s="1086"/>
      <c r="V30" s="1086"/>
    </row>
    <row r="31" spans="1:28" ht="15.75" x14ac:dyDescent="0.25">
      <c r="A31" s="741"/>
      <c r="B31" s="302"/>
      <c r="C31" s="700" t="s">
        <v>711</v>
      </c>
      <c r="D31" s="699"/>
      <c r="E31" s="704"/>
      <c r="F31" s="700" t="s">
        <v>710</v>
      </c>
      <c r="G31" s="304"/>
      <c r="H31" s="741"/>
      <c r="J31" s="1085"/>
      <c r="K31" s="1086"/>
      <c r="L31" s="1086"/>
      <c r="M31" s="1086"/>
      <c r="N31" s="1086"/>
      <c r="O31" s="1085"/>
      <c r="P31" s="1085"/>
      <c r="Q31" s="1086"/>
      <c r="R31" s="1086"/>
      <c r="S31" s="1086"/>
      <c r="T31" s="1086"/>
      <c r="U31" s="1086"/>
      <c r="V31" s="1086"/>
    </row>
    <row r="32" spans="1:28" x14ac:dyDescent="0.25">
      <c r="A32" s="741"/>
      <c r="B32" s="1001"/>
      <c r="C32" s="443" t="s">
        <v>815</v>
      </c>
      <c r="D32" s="1002">
        <f>D8-D8*(IF(D11="N",0.12,0.315))</f>
        <v>54.8</v>
      </c>
      <c r="E32" s="1002">
        <f>E8-E8*(IF(E11="N",0.12,0.315))</f>
        <v>54.8</v>
      </c>
      <c r="F32" s="1002">
        <f>F8-F8*(IF(F11="N",0.12,0.315))</f>
        <v>54.8</v>
      </c>
      <c r="G32" s="32"/>
      <c r="H32" s="741"/>
      <c r="J32" s="1085"/>
      <c r="K32" s="1086"/>
      <c r="L32" s="1086"/>
      <c r="M32" s="1086"/>
      <c r="N32" s="1086"/>
      <c r="O32" s="1086"/>
      <c r="P32" s="1085"/>
      <c r="Q32" s="1086"/>
      <c r="R32" s="1086"/>
      <c r="S32" s="1086"/>
      <c r="T32" s="1086"/>
      <c r="U32" s="1086"/>
      <c r="V32" s="1086"/>
    </row>
    <row r="33" spans="1:22" x14ac:dyDescent="0.25">
      <c r="A33" s="741"/>
      <c r="B33" s="1001"/>
      <c r="C33" s="359" t="s">
        <v>88</v>
      </c>
      <c r="D33" s="1002">
        <f>(D9*D8)/3600</f>
        <v>62</v>
      </c>
      <c r="E33" s="1002">
        <f>(E9*E8)/3600</f>
        <v>62</v>
      </c>
      <c r="F33" s="1002">
        <f>(F9*F8)/3600</f>
        <v>62</v>
      </c>
      <c r="G33" s="32"/>
      <c r="H33" s="741"/>
      <c r="J33" s="1085"/>
      <c r="K33" s="1086"/>
      <c r="L33" s="1086"/>
      <c r="M33" s="1086"/>
      <c r="N33" s="1086"/>
      <c r="O33" s="1086"/>
      <c r="P33" s="1085"/>
      <c r="Q33" s="1086"/>
      <c r="R33" s="1086"/>
      <c r="S33" s="1086"/>
      <c r="T33" s="1086"/>
      <c r="U33" s="1086"/>
      <c r="V33" s="1086"/>
    </row>
    <row r="34" spans="1:22" x14ac:dyDescent="0.25">
      <c r="A34" s="741"/>
      <c r="B34" s="1001"/>
      <c r="C34" s="359" t="s">
        <v>89</v>
      </c>
      <c r="D34" s="1002">
        <f>(D9*D32)/3600</f>
        <v>42.47</v>
      </c>
      <c r="E34" s="1002">
        <f>(E9*E32)/3600</f>
        <v>42.47</v>
      </c>
      <c r="F34" s="1002">
        <f>(F9*F32)/3600</f>
        <v>42.47</v>
      </c>
      <c r="G34" s="32"/>
      <c r="H34" s="741"/>
      <c r="J34" s="1085"/>
      <c r="K34" s="1086"/>
      <c r="L34" s="1086"/>
      <c r="M34" s="1086"/>
      <c r="N34" s="1086"/>
      <c r="O34" s="1086"/>
      <c r="P34" s="1085"/>
      <c r="Q34" s="1086"/>
      <c r="R34" s="1086"/>
      <c r="S34" s="1086"/>
      <c r="T34" s="1086"/>
      <c r="U34" s="1086"/>
      <c r="V34" s="1086"/>
    </row>
    <row r="35" spans="1:22" x14ac:dyDescent="0.25">
      <c r="A35" s="741"/>
      <c r="B35" s="1001"/>
      <c r="C35" s="591" t="s">
        <v>834</v>
      </c>
      <c r="D35" s="1007"/>
      <c r="E35" s="1007"/>
      <c r="F35" s="1007"/>
      <c r="G35" s="32"/>
      <c r="H35" s="741"/>
      <c r="J35" s="1086"/>
      <c r="K35" s="1086"/>
      <c r="L35" s="1086"/>
      <c r="M35" s="1086"/>
      <c r="N35" s="1086"/>
      <c r="O35" s="1086"/>
      <c r="P35" s="1086"/>
      <c r="Q35" s="1086"/>
      <c r="R35" s="1086"/>
      <c r="S35" s="1086"/>
      <c r="T35" s="1086"/>
      <c r="U35" s="1086"/>
      <c r="V35" s="1086"/>
    </row>
    <row r="36" spans="1:22" x14ac:dyDescent="0.25">
      <c r="A36" s="741"/>
      <c r="B36" s="1001"/>
      <c r="C36" s="359" t="s">
        <v>387</v>
      </c>
      <c r="D36" s="1002">
        <f t="shared" ref="D36:F40" si="1">D$16*((D$33*(1-D$10)*D19)+(D$33*D$10*D24))</f>
        <v>2374804.1763476999</v>
      </c>
      <c r="E36" s="1002">
        <f t="shared" si="1"/>
        <v>2095773.2039660951</v>
      </c>
      <c r="F36" s="1002">
        <f t="shared" si="1"/>
        <v>2263191.7873950657</v>
      </c>
      <c r="G36" s="32"/>
      <c r="H36" s="741"/>
      <c r="J36" s="1092"/>
      <c r="K36" s="1086"/>
      <c r="L36" s="1086"/>
      <c r="M36" s="1086"/>
      <c r="N36" s="1086"/>
      <c r="O36" s="1086"/>
      <c r="P36" s="1086"/>
      <c r="Q36" s="1086"/>
      <c r="R36" s="1086"/>
      <c r="S36" s="1086"/>
      <c r="T36" s="1086"/>
      <c r="U36" s="1086"/>
      <c r="V36" s="1086"/>
    </row>
    <row r="37" spans="1:22" x14ac:dyDescent="0.25">
      <c r="A37" s="741"/>
      <c r="B37" s="1001"/>
      <c r="C37" s="359" t="s">
        <v>633</v>
      </c>
      <c r="D37" s="1002">
        <f t="shared" si="1"/>
        <v>2677.4903193034188</v>
      </c>
      <c r="E37" s="1002">
        <f t="shared" si="1"/>
        <v>927.17592915484954</v>
      </c>
      <c r="F37" s="1002">
        <f t="shared" si="1"/>
        <v>1977.3645632440025</v>
      </c>
      <c r="G37" s="32"/>
      <c r="H37" s="741"/>
      <c r="J37" s="1086"/>
      <c r="K37" s="1086"/>
      <c r="L37" s="1086"/>
      <c r="M37" s="1086"/>
      <c r="N37" s="1086"/>
      <c r="O37" s="1086"/>
      <c r="P37" s="1086"/>
      <c r="Q37" s="1086"/>
      <c r="R37" s="1086"/>
      <c r="S37" s="1086"/>
      <c r="T37" s="1086"/>
      <c r="U37" s="1086"/>
      <c r="V37" s="1086"/>
    </row>
    <row r="38" spans="1:22" x14ac:dyDescent="0.25">
      <c r="A38" s="741"/>
      <c r="B38" s="1001"/>
      <c r="C38" s="359" t="s">
        <v>389</v>
      </c>
      <c r="D38" s="1002">
        <f t="shared" si="1"/>
        <v>170.26264955996854</v>
      </c>
      <c r="E38" s="1002">
        <f t="shared" si="1"/>
        <v>73.896682861521668</v>
      </c>
      <c r="F38" s="1002">
        <f t="shared" si="1"/>
        <v>131.71626288058704</v>
      </c>
      <c r="G38" s="32"/>
      <c r="H38" s="741"/>
      <c r="J38" s="1086"/>
      <c r="K38" s="1086"/>
      <c r="L38" s="1086"/>
      <c r="M38" s="1086"/>
      <c r="N38" s="1086"/>
      <c r="O38" s="1086"/>
      <c r="P38" s="1086"/>
      <c r="Q38" s="1086"/>
      <c r="R38" s="1086"/>
      <c r="S38" s="1086"/>
      <c r="T38" s="1086"/>
      <c r="U38" s="1086"/>
      <c r="V38" s="1086"/>
    </row>
    <row r="39" spans="1:22" x14ac:dyDescent="0.25">
      <c r="A39" s="741"/>
      <c r="B39" s="1001"/>
      <c r="C39" s="359" t="s">
        <v>634</v>
      </c>
      <c r="D39" s="1002">
        <f t="shared" si="1"/>
        <v>4270.8258062484783</v>
      </c>
      <c r="E39" s="1002">
        <f t="shared" si="1"/>
        <v>1896.9749448404505</v>
      </c>
      <c r="F39" s="1002">
        <f t="shared" si="1"/>
        <v>3321.2854616852501</v>
      </c>
      <c r="G39" s="32"/>
      <c r="H39" s="741"/>
      <c r="J39" s="1086"/>
      <c r="K39" s="1086"/>
      <c r="L39" s="1086"/>
      <c r="M39" s="1086"/>
      <c r="N39" s="1086"/>
      <c r="O39" s="1086"/>
      <c r="P39" s="1086"/>
      <c r="Q39" s="1086"/>
      <c r="R39" s="1086"/>
      <c r="S39" s="1086"/>
      <c r="T39" s="1086"/>
      <c r="U39" s="1086"/>
      <c r="V39" s="1086"/>
    </row>
    <row r="40" spans="1:22" x14ac:dyDescent="0.25">
      <c r="A40" s="741"/>
      <c r="B40" s="1001"/>
      <c r="C40" s="359" t="s">
        <v>388</v>
      </c>
      <c r="D40" s="1002">
        <f t="shared" si="1"/>
        <v>1823.2795510282288</v>
      </c>
      <c r="E40" s="1002">
        <f t="shared" si="1"/>
        <v>435.99592518994911</v>
      </c>
      <c r="F40" s="1002">
        <f t="shared" si="1"/>
        <v>1268.3661006928794</v>
      </c>
      <c r="G40" s="32"/>
      <c r="H40" s="741"/>
      <c r="J40" s="1086"/>
      <c r="K40" s="1086"/>
      <c r="L40" s="1086"/>
      <c r="M40" s="1086"/>
      <c r="N40" s="1086"/>
      <c r="O40" s="1086"/>
      <c r="P40" s="1086"/>
      <c r="Q40" s="1086"/>
      <c r="R40" s="1086"/>
      <c r="S40" s="1086"/>
      <c r="T40" s="1086"/>
      <c r="U40" s="1086"/>
      <c r="V40" s="1086"/>
    </row>
    <row r="41" spans="1:22" x14ac:dyDescent="0.25">
      <c r="A41" s="741"/>
      <c r="B41" s="1001"/>
      <c r="C41" s="379" t="s">
        <v>800</v>
      </c>
      <c r="D41" s="1002">
        <f t="shared" ref="D41:F45" si="2">D$16*((D$34*(1-D$10)*D19)+(D$34*D$10*D24))</f>
        <v>1626740.8607981747</v>
      </c>
      <c r="E41" s="1002">
        <f t="shared" si="2"/>
        <v>1435604.644716775</v>
      </c>
      <c r="F41" s="1002">
        <f t="shared" si="2"/>
        <v>1550286.3743656198</v>
      </c>
      <c r="G41" s="32"/>
      <c r="H41" s="741"/>
      <c r="J41" s="1086"/>
      <c r="K41" s="1086"/>
      <c r="L41" s="1086"/>
      <c r="M41" s="1086"/>
      <c r="N41" s="1086"/>
      <c r="O41" s="1086"/>
      <c r="P41" s="1086"/>
      <c r="Q41" s="1086"/>
      <c r="R41" s="1086"/>
      <c r="S41" s="1086"/>
      <c r="T41" s="1086"/>
      <c r="U41" s="1086"/>
      <c r="V41" s="1086"/>
    </row>
    <row r="42" spans="1:22" x14ac:dyDescent="0.25">
      <c r="A42" s="741"/>
      <c r="B42" s="1001"/>
      <c r="C42" s="379" t="s">
        <v>635</v>
      </c>
      <c r="D42" s="1002">
        <f t="shared" si="2"/>
        <v>1834.0808687228414</v>
      </c>
      <c r="E42" s="1002">
        <f t="shared" si="2"/>
        <v>635.11551147107195</v>
      </c>
      <c r="F42" s="1002">
        <f t="shared" si="2"/>
        <v>1354.4947258221416</v>
      </c>
      <c r="G42" s="32"/>
      <c r="H42" s="741"/>
      <c r="J42" s="1086"/>
      <c r="K42" s="1086"/>
      <c r="L42" s="1086"/>
      <c r="M42" s="1086"/>
      <c r="N42" s="1086"/>
      <c r="O42" s="1086"/>
      <c r="P42" s="1086"/>
      <c r="Q42" s="1086"/>
      <c r="R42" s="1086"/>
      <c r="S42" s="1086"/>
      <c r="T42" s="1086"/>
      <c r="U42" s="1086"/>
      <c r="V42" s="1086"/>
    </row>
    <row r="43" spans="1:22" x14ac:dyDescent="0.25">
      <c r="A43" s="741"/>
      <c r="B43" s="1001"/>
      <c r="C43" s="379" t="s">
        <v>392</v>
      </c>
      <c r="D43" s="1002">
        <f t="shared" si="2"/>
        <v>116.62991494857846</v>
      </c>
      <c r="E43" s="1002">
        <f t="shared" si="2"/>
        <v>50.619227760142351</v>
      </c>
      <c r="F43" s="1002">
        <f t="shared" si="2"/>
        <v>90.225640073202115</v>
      </c>
      <c r="G43" s="32"/>
      <c r="H43" s="741"/>
      <c r="J43" s="1093"/>
      <c r="K43" s="1086"/>
      <c r="L43" s="1086"/>
      <c r="M43" s="1086"/>
      <c r="N43" s="1086"/>
      <c r="O43" s="1086"/>
      <c r="P43" s="1086"/>
      <c r="Q43" s="1086"/>
      <c r="R43" s="1086"/>
      <c r="S43" s="1086"/>
      <c r="T43" s="1086"/>
      <c r="U43" s="1086"/>
      <c r="V43" s="1086"/>
    </row>
    <row r="44" spans="1:22" x14ac:dyDescent="0.25">
      <c r="A44" s="741"/>
      <c r="B44" s="1001"/>
      <c r="C44" s="379" t="s">
        <v>636</v>
      </c>
      <c r="D44" s="1002">
        <f t="shared" si="2"/>
        <v>2925.5156772802084</v>
      </c>
      <c r="E44" s="1002">
        <f t="shared" si="2"/>
        <v>1299.4278372157087</v>
      </c>
      <c r="F44" s="1002">
        <f t="shared" si="2"/>
        <v>2275.0805412543964</v>
      </c>
      <c r="G44" s="32"/>
      <c r="H44" s="741"/>
      <c r="J44" s="1093"/>
      <c r="K44" s="1086"/>
      <c r="L44" s="1086"/>
      <c r="M44" s="1086"/>
      <c r="N44" s="1086"/>
      <c r="O44" s="1086"/>
      <c r="P44" s="1086"/>
      <c r="Q44" s="1086"/>
      <c r="R44" s="1086"/>
      <c r="S44" s="1086"/>
      <c r="T44" s="1086"/>
      <c r="U44" s="1086"/>
      <c r="V44" s="1086"/>
    </row>
    <row r="45" spans="1:22" x14ac:dyDescent="0.25">
      <c r="A45" s="741"/>
      <c r="B45" s="1001"/>
      <c r="C45" s="379" t="s">
        <v>391</v>
      </c>
      <c r="D45" s="1002">
        <f t="shared" si="2"/>
        <v>1248.9464924543365</v>
      </c>
      <c r="E45" s="1002">
        <f t="shared" si="2"/>
        <v>298.65720875511511</v>
      </c>
      <c r="F45" s="1002">
        <f t="shared" si="2"/>
        <v>868.83077897462249</v>
      </c>
      <c r="G45" s="32"/>
      <c r="H45" s="741"/>
      <c r="J45" s="1086"/>
      <c r="K45" s="1085"/>
      <c r="L45" s="1085"/>
      <c r="M45" s="1085"/>
      <c r="N45" s="1094"/>
      <c r="O45" s="1086"/>
      <c r="P45" s="1086"/>
      <c r="Q45" s="1086"/>
      <c r="R45" s="1086"/>
      <c r="S45" s="1086"/>
      <c r="T45" s="1086"/>
      <c r="U45" s="1086"/>
      <c r="V45" s="1086"/>
    </row>
    <row r="46" spans="1:22" x14ac:dyDescent="0.25">
      <c r="A46" s="741"/>
      <c r="B46" s="302"/>
      <c r="C46" s="29"/>
      <c r="D46" s="680"/>
      <c r="E46" s="680"/>
      <c r="F46" s="680"/>
      <c r="G46" s="680"/>
      <c r="H46" s="741"/>
      <c r="J46" s="1086"/>
      <c r="K46" s="1085"/>
      <c r="L46" s="1085"/>
      <c r="M46" s="1085"/>
      <c r="N46" s="1094"/>
      <c r="O46" s="1086"/>
      <c r="P46" s="1086"/>
      <c r="Q46" s="1086"/>
      <c r="R46" s="1086"/>
      <c r="S46" s="1086"/>
      <c r="T46" s="1086"/>
      <c r="U46" s="1086"/>
      <c r="V46" s="1086"/>
    </row>
    <row r="47" spans="1:22" ht="15.75" x14ac:dyDescent="0.25">
      <c r="A47" s="741"/>
      <c r="B47" s="302"/>
      <c r="C47" s="1197" t="s">
        <v>701</v>
      </c>
      <c r="D47" s="1197"/>
      <c r="E47" s="1197"/>
      <c r="F47" s="1197"/>
      <c r="G47" s="680"/>
      <c r="H47" s="741"/>
      <c r="J47" s="1089"/>
      <c r="K47" s="1095"/>
      <c r="L47" s="1095"/>
      <c r="M47" s="1096"/>
      <c r="N47" s="1097"/>
      <c r="O47" s="1086"/>
      <c r="P47" s="1098"/>
      <c r="Q47" s="1098"/>
      <c r="R47" s="1098"/>
      <c r="S47" s="1099"/>
      <c r="T47" s="1098"/>
      <c r="U47" s="1086"/>
      <c r="V47" s="1086"/>
    </row>
    <row r="48" spans="1:22" ht="15.75" thickBot="1" x14ac:dyDescent="0.3">
      <c r="A48" s="741"/>
      <c r="B48" s="302"/>
      <c r="C48" s="742" t="s">
        <v>990</v>
      </c>
      <c r="D48" s="742"/>
      <c r="E48" s="742"/>
      <c r="F48" s="742"/>
      <c r="G48" s="680"/>
      <c r="H48" s="741"/>
      <c r="J48" s="1089"/>
      <c r="K48" s="1095"/>
      <c r="L48" s="1095"/>
      <c r="M48" s="1096"/>
      <c r="N48" s="1086"/>
      <c r="O48" s="1100"/>
      <c r="P48" s="1100"/>
      <c r="Q48" s="1100"/>
      <c r="R48" s="1100"/>
      <c r="S48" s="1100"/>
      <c r="T48" s="1100"/>
      <c r="U48" s="1086"/>
      <c r="V48" s="1086"/>
    </row>
    <row r="49" spans="1:22" x14ac:dyDescent="0.25">
      <c r="A49" s="741"/>
      <c r="B49" s="332"/>
      <c r="C49" s="734" t="s">
        <v>124</v>
      </c>
      <c r="D49" s="632">
        <f>(D33*D17*D16)-(D34*D17*D16)</f>
        <v>48825</v>
      </c>
      <c r="E49" s="632">
        <f>(E33*E17*E16)-(E34*E17*E16)</f>
        <v>48825</v>
      </c>
      <c r="F49" s="632">
        <f>F12*((F33*F17*F16)-(F34*F17*F16))</f>
        <v>97650</v>
      </c>
      <c r="G49" s="197"/>
      <c r="H49" s="741"/>
      <c r="J49" s="1089"/>
      <c r="K49" s="1101"/>
      <c r="L49" s="1101"/>
      <c r="M49" s="1086"/>
      <c r="N49" s="1086"/>
      <c r="O49" s="1100"/>
      <c r="P49" s="1100"/>
      <c r="Q49" s="1100"/>
      <c r="R49" s="1100"/>
      <c r="S49" s="1100"/>
      <c r="T49" s="1100"/>
      <c r="U49" s="1086"/>
      <c r="V49" s="1086"/>
    </row>
    <row r="50" spans="1:22" ht="15.75" thickBot="1" x14ac:dyDescent="0.3">
      <c r="A50" s="741"/>
      <c r="B50" s="2"/>
      <c r="C50" s="508" t="s">
        <v>52</v>
      </c>
      <c r="D50" s="1057" t="s">
        <v>360</v>
      </c>
      <c r="E50" s="1057" t="s">
        <v>360</v>
      </c>
      <c r="F50" s="1057" t="s">
        <v>360</v>
      </c>
      <c r="G50" s="197"/>
      <c r="H50" s="741"/>
      <c r="J50" s="1089"/>
      <c r="K50" s="1101"/>
      <c r="L50" s="1101"/>
      <c r="M50" s="1086"/>
      <c r="N50" s="1089"/>
      <c r="O50" s="1102"/>
      <c r="P50" s="1102"/>
      <c r="Q50" s="1102"/>
      <c r="R50" s="1102"/>
      <c r="S50" s="1102"/>
      <c r="T50" s="1102"/>
      <c r="U50" s="1086"/>
      <c r="V50" s="1086"/>
    </row>
    <row r="51" spans="1:22" x14ac:dyDescent="0.25">
      <c r="A51" s="741"/>
      <c r="B51" s="302"/>
      <c r="C51" s="689"/>
      <c r="D51" s="682"/>
      <c r="E51" s="682"/>
      <c r="F51" s="682"/>
      <c r="G51" s="662"/>
      <c r="H51" s="741"/>
      <c r="J51" s="1089"/>
      <c r="K51" s="1101"/>
      <c r="L51" s="1095"/>
      <c r="M51" s="1086"/>
      <c r="N51" s="1089"/>
      <c r="O51" s="1102"/>
      <c r="P51" s="1102"/>
      <c r="Q51" s="1102"/>
      <c r="R51" s="1102"/>
      <c r="S51" s="1102"/>
      <c r="T51" s="1102"/>
      <c r="U51" s="1086"/>
      <c r="V51" s="1086"/>
    </row>
    <row r="52" spans="1:22" ht="15.75" thickBot="1" x14ac:dyDescent="0.3">
      <c r="A52" s="741"/>
      <c r="B52" s="302"/>
      <c r="C52" s="742" t="s">
        <v>724</v>
      </c>
      <c r="D52" s="302"/>
      <c r="E52" s="302"/>
      <c r="F52" s="302"/>
      <c r="G52" s="303"/>
      <c r="H52" s="741"/>
      <c r="J52" s="1086"/>
      <c r="K52" s="1086"/>
      <c r="L52" s="1086"/>
      <c r="M52" s="1086"/>
      <c r="N52" s="1089"/>
      <c r="O52" s="1102"/>
      <c r="P52" s="1102"/>
      <c r="Q52" s="1102"/>
      <c r="R52" s="1102"/>
      <c r="S52" s="1102"/>
      <c r="T52" s="1102"/>
      <c r="U52" s="1086"/>
      <c r="V52" s="1086"/>
    </row>
    <row r="53" spans="1:22" x14ac:dyDescent="0.25">
      <c r="A53" s="741"/>
      <c r="B53" s="332"/>
      <c r="C53" s="734" t="s">
        <v>817</v>
      </c>
      <c r="D53" s="1008">
        <f t="shared" ref="D53:E57" si="3">(D36-D41)*D$17</f>
        <v>187015828.88738129</v>
      </c>
      <c r="E53" s="1009">
        <f t="shared" si="3"/>
        <v>165042139.81233001</v>
      </c>
      <c r="F53" s="984">
        <f>F12*((F36-F41)*F$17)</f>
        <v>356452706.51472288</v>
      </c>
      <c r="G53" s="667"/>
      <c r="H53" s="741"/>
      <c r="J53" s="1086"/>
      <c r="K53" s="1086"/>
      <c r="L53" s="1086"/>
      <c r="M53" s="1086"/>
      <c r="N53" s="1089"/>
      <c r="O53" s="1102"/>
      <c r="P53" s="1102"/>
      <c r="Q53" s="1102"/>
      <c r="R53" s="1102"/>
      <c r="S53" s="1102"/>
      <c r="T53" s="1102"/>
      <c r="U53" s="1086"/>
      <c r="V53" s="1086"/>
    </row>
    <row r="54" spans="1:22" x14ac:dyDescent="0.25">
      <c r="A54" s="741"/>
      <c r="B54" s="332"/>
      <c r="C54" s="735" t="s">
        <v>818</v>
      </c>
      <c r="D54" s="1012">
        <f t="shared" si="3"/>
        <v>210852.36264514434</v>
      </c>
      <c r="E54" s="1011">
        <f t="shared" si="3"/>
        <v>73015.104420944393</v>
      </c>
      <c r="F54" s="985">
        <f>F12*(F37-F42)*F$17</f>
        <v>311434.91871093045</v>
      </c>
      <c r="G54" s="667"/>
      <c r="H54" s="741"/>
      <c r="J54" s="1086"/>
      <c r="K54" s="1086"/>
      <c r="L54" s="1086"/>
      <c r="M54" s="1086"/>
      <c r="N54" s="1089"/>
      <c r="O54" s="1102"/>
      <c r="P54" s="1102"/>
      <c r="Q54" s="1102"/>
      <c r="R54" s="1102"/>
      <c r="S54" s="1102"/>
      <c r="T54" s="1102"/>
      <c r="U54" s="1086"/>
      <c r="V54" s="1086"/>
    </row>
    <row r="55" spans="1:22" x14ac:dyDescent="0.25">
      <c r="A55" s="741"/>
      <c r="B55" s="332"/>
      <c r="C55" s="735" t="s">
        <v>819</v>
      </c>
      <c r="D55" s="1012">
        <f t="shared" si="3"/>
        <v>13408.18365284752</v>
      </c>
      <c r="E55" s="1011">
        <f t="shared" si="3"/>
        <v>5819.3637753448293</v>
      </c>
      <c r="F55" s="985">
        <f>F12*(F38-F43)*F$17</f>
        <v>20745.311403692464</v>
      </c>
      <c r="G55" s="667"/>
      <c r="H55" s="741"/>
      <c r="J55" s="1086"/>
      <c r="K55" s="1086"/>
      <c r="L55" s="1086"/>
      <c r="M55" s="1086"/>
      <c r="N55" s="1089"/>
      <c r="O55" s="1102"/>
      <c r="P55" s="1102"/>
      <c r="Q55" s="1102"/>
      <c r="R55" s="1102"/>
      <c r="S55" s="1102"/>
      <c r="T55" s="1102"/>
      <c r="U55" s="1086"/>
      <c r="V55" s="1086"/>
    </row>
    <row r="56" spans="1:22" x14ac:dyDescent="0.25">
      <c r="A56" s="741"/>
      <c r="B56" s="332"/>
      <c r="C56" s="735" t="s">
        <v>820</v>
      </c>
      <c r="D56" s="1012">
        <f t="shared" si="3"/>
        <v>336327.53224206751</v>
      </c>
      <c r="E56" s="1011">
        <f t="shared" si="3"/>
        <v>149386.77690618543</v>
      </c>
      <c r="F56" s="985">
        <f>F12*(F39-F44)*F$17</f>
        <v>523102.46021542687</v>
      </c>
      <c r="G56" s="667"/>
      <c r="H56" s="741"/>
      <c r="J56" s="1086"/>
      <c r="K56" s="1086"/>
      <c r="L56" s="1086"/>
      <c r="M56" s="1086"/>
      <c r="N56" s="1089"/>
      <c r="O56" s="1102"/>
      <c r="P56" s="1102"/>
      <c r="Q56" s="1102"/>
      <c r="R56" s="1102"/>
      <c r="S56" s="1102"/>
      <c r="T56" s="1102"/>
      <c r="U56" s="1086"/>
      <c r="V56" s="1086"/>
    </row>
    <row r="57" spans="1:22" ht="15.75" thickBot="1" x14ac:dyDescent="0.3">
      <c r="A57" s="741"/>
      <c r="B57" s="332"/>
      <c r="C57" s="736" t="s">
        <v>821</v>
      </c>
      <c r="D57" s="1010">
        <f t="shared" si="3"/>
        <v>143583.26464347306</v>
      </c>
      <c r="E57" s="1013">
        <f t="shared" si="3"/>
        <v>34334.6791087085</v>
      </c>
      <c r="F57" s="1014">
        <f>F12*(F40-F45)*F$17</f>
        <v>199767.66085912846</v>
      </c>
      <c r="G57" s="667"/>
      <c r="H57" s="741"/>
      <c r="N57" s="1089"/>
      <c r="O57" s="1102"/>
      <c r="P57" s="1102"/>
      <c r="Q57" s="1102"/>
      <c r="R57" s="1102"/>
      <c r="S57" s="1102"/>
      <c r="T57" s="1102"/>
    </row>
    <row r="58" spans="1:22" x14ac:dyDescent="0.25">
      <c r="A58" s="741"/>
      <c r="B58" s="332"/>
      <c r="C58" s="329" t="s">
        <v>974</v>
      </c>
      <c r="D58" s="707"/>
      <c r="E58" s="704"/>
      <c r="F58" s="989">
        <f>(F53*0.00000110231)/F$17</f>
        <v>1.5716855316729768</v>
      </c>
      <c r="G58" s="215"/>
      <c r="H58" s="741"/>
      <c r="N58" s="1089"/>
      <c r="O58" s="1102"/>
      <c r="P58" s="1102"/>
      <c r="Q58" s="1102"/>
      <c r="R58" s="1102"/>
      <c r="S58" s="1102"/>
      <c r="T58" s="1102"/>
    </row>
    <row r="59" spans="1:22" x14ac:dyDescent="0.25">
      <c r="A59" s="741"/>
      <c r="B59" s="332"/>
      <c r="C59" s="330" t="s">
        <v>975</v>
      </c>
      <c r="D59" s="708"/>
      <c r="E59" s="704"/>
      <c r="F59" s="988">
        <f>(F54*0.00000110231)/F$17</f>
        <v>1.3731913009769831E-3</v>
      </c>
      <c r="G59" s="215"/>
      <c r="H59" s="741"/>
      <c r="N59" s="1089"/>
      <c r="O59" s="1102"/>
      <c r="P59" s="1102"/>
      <c r="Q59" s="1102"/>
      <c r="R59" s="1102"/>
      <c r="S59" s="1102"/>
      <c r="T59" s="1102"/>
    </row>
    <row r="60" spans="1:22" x14ac:dyDescent="0.25">
      <c r="A60" s="741"/>
      <c r="B60" s="332"/>
      <c r="C60" s="330" t="s">
        <v>976</v>
      </c>
      <c r="D60" s="708"/>
      <c r="E60" s="704"/>
      <c r="F60" s="988">
        <f>(F55*0.00000110231)/F$17</f>
        <v>9.1471056853616967E-5</v>
      </c>
      <c r="G60" s="302"/>
      <c r="H60" s="741"/>
      <c r="N60" s="1089"/>
      <c r="O60" s="1102"/>
      <c r="P60" s="1102"/>
      <c r="Q60" s="1102"/>
      <c r="R60" s="1102"/>
      <c r="S60" s="1102"/>
      <c r="T60" s="1102"/>
    </row>
    <row r="61" spans="1:22" x14ac:dyDescent="0.25">
      <c r="A61" s="741"/>
      <c r="B61" s="332"/>
      <c r="C61" s="330" t="s">
        <v>977</v>
      </c>
      <c r="D61" s="708"/>
      <c r="E61" s="704"/>
      <c r="F61" s="988">
        <f>(F56*0.00000110231)/F$17</f>
        <v>2.3064842916802691E-3</v>
      </c>
      <c r="G61" s="302"/>
      <c r="H61" s="741"/>
      <c r="N61" s="1089"/>
      <c r="O61" s="1102"/>
      <c r="P61" s="1102"/>
      <c r="Q61" s="1102"/>
      <c r="R61" s="1102"/>
      <c r="S61" s="1102"/>
      <c r="T61" s="1102"/>
    </row>
    <row r="62" spans="1:22" ht="15.75" thickBot="1" x14ac:dyDescent="0.3">
      <c r="A62" s="741"/>
      <c r="B62" s="332"/>
      <c r="C62" s="331" t="s">
        <v>978</v>
      </c>
      <c r="D62" s="709"/>
      <c r="E62" s="527"/>
      <c r="F62" s="491">
        <f>(F57*0.00000110231)/F$17</f>
        <v>8.8082356096650359E-4</v>
      </c>
      <c r="G62" s="302"/>
      <c r="H62" s="741"/>
      <c r="N62" s="1089"/>
      <c r="O62" s="1102"/>
      <c r="P62" s="1102"/>
      <c r="Q62" s="1102"/>
      <c r="R62" s="1102"/>
      <c r="S62" s="1102"/>
      <c r="T62" s="1102"/>
    </row>
    <row r="63" spans="1:22" x14ac:dyDescent="0.25">
      <c r="A63" s="741"/>
      <c r="B63" s="302"/>
      <c r="C63" s="5"/>
      <c r="D63" s="302"/>
      <c r="E63" s="302"/>
      <c r="F63" s="302"/>
      <c r="G63" s="302"/>
      <c r="H63" s="741"/>
      <c r="N63" s="1089"/>
      <c r="O63" s="1102"/>
      <c r="P63" s="1102"/>
      <c r="Q63" s="1102"/>
      <c r="R63" s="1102"/>
      <c r="S63" s="1102"/>
      <c r="T63" s="1102"/>
    </row>
    <row r="64" spans="1:22" x14ac:dyDescent="0.25">
      <c r="A64" s="741"/>
      <c r="B64" s="741"/>
      <c r="C64" s="741"/>
      <c r="D64" s="741"/>
      <c r="E64" s="741"/>
      <c r="F64" s="741"/>
      <c r="G64" s="741"/>
      <c r="H64" s="741"/>
      <c r="N64" s="1089"/>
      <c r="O64" s="1102"/>
      <c r="P64" s="1102"/>
      <c r="Q64" s="1102"/>
      <c r="R64" s="1102"/>
      <c r="S64" s="1102"/>
      <c r="T64" s="1102"/>
    </row>
    <row r="65" spans="14:20" x14ac:dyDescent="0.25">
      <c r="N65" s="1089"/>
      <c r="O65" s="1102"/>
      <c r="P65" s="1102"/>
      <c r="Q65" s="1102"/>
      <c r="R65" s="1102"/>
      <c r="S65" s="1102"/>
      <c r="T65" s="1102"/>
    </row>
    <row r="66" spans="14:20" x14ac:dyDescent="0.25">
      <c r="N66" s="1089"/>
      <c r="O66" s="1102"/>
      <c r="P66" s="1102"/>
      <c r="Q66" s="1102"/>
      <c r="R66" s="1102"/>
      <c r="S66" s="1102"/>
      <c r="T66" s="1102"/>
    </row>
    <row r="67" spans="14:20" x14ac:dyDescent="0.25">
      <c r="N67" s="1089"/>
      <c r="O67" s="1102"/>
      <c r="P67" s="1102"/>
      <c r="Q67" s="1102"/>
      <c r="R67" s="1102"/>
      <c r="S67" s="1102"/>
      <c r="T67" s="1102"/>
    </row>
    <row r="68" spans="14:20" x14ac:dyDescent="0.25">
      <c r="N68" s="1089"/>
      <c r="O68" s="1102"/>
      <c r="P68" s="1102"/>
      <c r="Q68" s="1102"/>
      <c r="R68" s="1102"/>
      <c r="S68" s="1102"/>
      <c r="T68" s="1102"/>
    </row>
    <row r="69" spans="14:20" x14ac:dyDescent="0.25">
      <c r="N69" s="1089"/>
      <c r="O69" s="1102"/>
      <c r="P69" s="1102"/>
      <c r="Q69" s="1102"/>
      <c r="R69" s="1102"/>
      <c r="S69" s="1102"/>
      <c r="T69" s="1102"/>
    </row>
    <row r="70" spans="14:20" x14ac:dyDescent="0.25">
      <c r="N70" s="1089"/>
      <c r="O70" s="1102"/>
      <c r="P70" s="1102"/>
      <c r="Q70" s="1102"/>
      <c r="R70" s="1102"/>
      <c r="S70" s="1102"/>
      <c r="T70" s="1102"/>
    </row>
    <row r="71" spans="14:20" x14ac:dyDescent="0.25">
      <c r="N71" s="1089"/>
      <c r="O71" s="1102"/>
      <c r="P71" s="1102"/>
      <c r="Q71" s="1102"/>
      <c r="R71" s="1102"/>
      <c r="S71" s="1102"/>
      <c r="T71" s="1102"/>
    </row>
    <row r="72" spans="14:20" x14ac:dyDescent="0.25">
      <c r="N72" s="1089"/>
      <c r="O72" s="1102"/>
      <c r="P72" s="1102"/>
      <c r="Q72" s="1102"/>
      <c r="R72" s="1102"/>
      <c r="S72" s="1102"/>
      <c r="T72" s="1102"/>
    </row>
    <row r="73" spans="14:20" x14ac:dyDescent="0.25">
      <c r="N73" s="1089"/>
      <c r="O73" s="1102"/>
      <c r="P73" s="1102"/>
      <c r="Q73" s="1102"/>
      <c r="R73" s="1102"/>
      <c r="S73" s="1102"/>
      <c r="T73" s="1102"/>
    </row>
    <row r="74" spans="14:20" x14ac:dyDescent="0.25">
      <c r="N74" s="1089"/>
      <c r="O74" s="1102"/>
      <c r="P74" s="1102"/>
      <c r="Q74" s="1102"/>
      <c r="R74" s="1102"/>
      <c r="S74" s="1102"/>
      <c r="T74" s="1102"/>
    </row>
    <row r="75" spans="14:20" x14ac:dyDescent="0.25">
      <c r="N75" s="1089"/>
      <c r="O75" s="1102"/>
      <c r="P75" s="1102"/>
      <c r="Q75" s="1102"/>
      <c r="R75" s="1102"/>
      <c r="S75" s="1102"/>
      <c r="T75" s="1102"/>
    </row>
    <row r="76" spans="14:20" x14ac:dyDescent="0.25">
      <c r="N76" s="1089"/>
      <c r="O76" s="1102"/>
      <c r="P76" s="1102"/>
      <c r="Q76" s="1102"/>
      <c r="R76" s="1102"/>
      <c r="S76" s="1102"/>
      <c r="T76" s="1102"/>
    </row>
    <row r="77" spans="14:20" x14ac:dyDescent="0.25">
      <c r="N77" s="1089"/>
      <c r="O77" s="1102"/>
      <c r="P77" s="1102"/>
      <c r="Q77" s="1102"/>
      <c r="R77" s="1102"/>
      <c r="S77" s="1102"/>
      <c r="T77" s="1102"/>
    </row>
    <row r="78" spans="14:20" x14ac:dyDescent="0.25">
      <c r="N78" s="1089"/>
      <c r="O78" s="1102"/>
      <c r="P78" s="1102"/>
      <c r="Q78" s="1102"/>
      <c r="R78" s="1102"/>
      <c r="S78" s="1102"/>
      <c r="T78" s="1102"/>
    </row>
    <row r="79" spans="14:20" x14ac:dyDescent="0.25">
      <c r="N79" s="1089"/>
      <c r="O79" s="1102"/>
      <c r="P79" s="1102"/>
      <c r="Q79" s="1102"/>
      <c r="R79" s="1102"/>
      <c r="S79" s="1102"/>
      <c r="T79" s="1102"/>
    </row>
    <row r="80" spans="14:20" x14ac:dyDescent="0.25">
      <c r="N80" s="1089"/>
      <c r="O80" s="1102"/>
      <c r="P80" s="1102"/>
      <c r="Q80" s="1102"/>
      <c r="R80" s="1102"/>
      <c r="S80" s="1102"/>
      <c r="T80" s="1102"/>
    </row>
    <row r="81" spans="9:20" x14ac:dyDescent="0.25">
      <c r="N81" s="1089"/>
      <c r="O81" s="1102"/>
      <c r="P81" s="1102"/>
      <c r="Q81" s="1102"/>
      <c r="R81" s="1102"/>
      <c r="S81" s="1102"/>
      <c r="T81" s="1102"/>
    </row>
    <row r="82" spans="9:20" x14ac:dyDescent="0.25">
      <c r="N82" s="1089"/>
      <c r="O82" s="1102"/>
      <c r="P82" s="1102"/>
      <c r="Q82" s="1102"/>
      <c r="R82" s="1102"/>
      <c r="S82" s="1102"/>
      <c r="T82" s="1102"/>
    </row>
    <row r="92" spans="9:20" x14ac:dyDescent="0.25">
      <c r="P92" s="1086"/>
      <c r="Q92" s="1086"/>
      <c r="R92" s="1086"/>
      <c r="S92" s="1086"/>
    </row>
    <row r="93" spans="9:20" x14ac:dyDescent="0.25">
      <c r="P93" s="1098"/>
      <c r="Q93" s="1103"/>
      <c r="R93" s="1099"/>
      <c r="S93" s="1099"/>
    </row>
    <row r="94" spans="9:20" ht="9" customHeight="1" x14ac:dyDescent="0.25">
      <c r="Q94" s="1100"/>
      <c r="R94" s="1100"/>
      <c r="S94" s="1100"/>
    </row>
    <row r="95" spans="9:20" ht="12" customHeight="1" x14ac:dyDescent="0.25">
      <c r="Q95" s="1100"/>
      <c r="R95" s="1100"/>
      <c r="S95" s="1100"/>
    </row>
    <row r="96" spans="9:20" x14ac:dyDescent="0.25">
      <c r="I96" s="1086"/>
      <c r="Q96" s="1101"/>
      <c r="R96" s="1102"/>
      <c r="S96" s="1101"/>
    </row>
    <row r="97" spans="10:19" x14ac:dyDescent="0.25">
      <c r="Q97" s="1101"/>
      <c r="R97" s="1102"/>
      <c r="S97" s="1101"/>
    </row>
    <row r="98" spans="10:19" x14ac:dyDescent="0.25">
      <c r="Q98" s="1101"/>
      <c r="R98" s="1102"/>
      <c r="S98" s="1101"/>
    </row>
    <row r="99" spans="10:19" x14ac:dyDescent="0.25">
      <c r="Q99" s="1101"/>
      <c r="R99" s="1102"/>
      <c r="S99" s="1101"/>
    </row>
    <row r="100" spans="10:19" x14ac:dyDescent="0.25">
      <c r="J100" s="1086"/>
      <c r="K100" s="1086"/>
      <c r="L100" s="1086"/>
      <c r="Q100" s="1101"/>
      <c r="R100" s="1102"/>
      <c r="S100" s="1101"/>
    </row>
    <row r="101" spans="10:19" x14ac:dyDescent="0.25">
      <c r="M101" s="1086"/>
      <c r="N101" s="1086"/>
      <c r="O101" s="1086"/>
      <c r="P101" s="1086"/>
      <c r="Q101" s="1086"/>
      <c r="R101" s="1086"/>
      <c r="S101" s="1086"/>
    </row>
  </sheetData>
  <mergeCells count="6">
    <mergeCell ref="C47:F47"/>
    <mergeCell ref="C2:F2"/>
    <mergeCell ref="C3:F3"/>
    <mergeCell ref="C5:F5"/>
    <mergeCell ref="C14:F14"/>
    <mergeCell ref="C30:F30"/>
  </mergeCells>
  <dataValidations count="2">
    <dataValidation type="list" allowBlank="1" showInputMessage="1" showErrorMessage="1" sqref="G6">
      <formula1>$Y$3:$Y$12</formula1>
    </dataValidation>
    <dataValidation type="list" allowBlank="1" showInputMessage="1" showErrorMessage="1" sqref="E7">
      <formula1>$AA$4:$AA$23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OtherVariables!$I$121:$I$131</xm:f>
          </x14:formula1>
          <xm:sqref>F7</xm:sqref>
        </x14:dataValidation>
        <x14:dataValidation type="list" allowBlank="1" showInputMessage="1" showErrorMessage="1">
          <x14:formula1>
            <xm:f>OtherVariables!$A$377:$A$378</xm:f>
          </x14:formula1>
          <xm:sqref>F11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X138"/>
  <sheetViews>
    <sheetView showGridLines="0" tabSelected="1" zoomScale="80" zoomScaleNormal="80" workbookViewId="0">
      <selection activeCell="I15" sqref="I15"/>
    </sheetView>
  </sheetViews>
  <sheetFormatPr defaultRowHeight="15" x14ac:dyDescent="0.25"/>
  <cols>
    <col min="1" max="1" width="2.5703125" style="294" customWidth="1"/>
    <col min="2" max="2" width="1.85546875" style="294" customWidth="1"/>
    <col min="3" max="3" width="75.7109375" style="294" bestFit="1" customWidth="1"/>
    <col min="4" max="4" width="27.7109375" style="294" hidden="1" customWidth="1"/>
    <col min="5" max="5" width="27.7109375" style="501" hidden="1" customWidth="1"/>
    <col min="6" max="6" width="27.7109375" style="501" customWidth="1"/>
    <col min="7" max="7" width="2" style="294" customWidth="1"/>
    <col min="8" max="8" width="2.28515625" style="294" customWidth="1"/>
    <col min="9" max="9" width="15.28515625" style="744" customWidth="1"/>
    <col min="10" max="11" width="9.140625" style="744"/>
    <col min="12" max="12" width="9.140625" style="744" customWidth="1"/>
    <col min="13" max="13" width="42.42578125" style="744" bestFit="1" customWidth="1"/>
    <col min="14" max="23" width="9.140625" style="744"/>
    <col min="24" max="16384" width="9.140625" style="294"/>
  </cols>
  <sheetData>
    <row r="1" spans="1:24" x14ac:dyDescent="0.25">
      <c r="A1" s="741"/>
      <c r="B1" s="741"/>
      <c r="C1" s="741"/>
      <c r="D1" s="741"/>
      <c r="E1" s="741"/>
      <c r="F1" s="741"/>
      <c r="G1" s="741"/>
      <c r="H1" s="741"/>
    </row>
    <row r="2" spans="1:24" ht="10.5" customHeight="1" x14ac:dyDescent="0.25">
      <c r="A2" s="741"/>
      <c r="B2" s="739"/>
      <c r="C2" s="1198"/>
      <c r="D2" s="1198"/>
      <c r="E2" s="1198"/>
      <c r="F2" s="1198"/>
      <c r="G2" s="739"/>
      <c r="H2" s="741"/>
    </row>
    <row r="3" spans="1:24" ht="26.25" x14ac:dyDescent="0.25">
      <c r="A3" s="741"/>
      <c r="B3" s="302"/>
      <c r="C3" s="1199" t="s">
        <v>568</v>
      </c>
      <c r="D3" s="1199"/>
      <c r="E3" s="1199"/>
      <c r="F3" s="1199"/>
      <c r="G3" s="382"/>
      <c r="H3" s="741"/>
      <c r="J3" s="1115"/>
      <c r="X3" s="445"/>
    </row>
    <row r="4" spans="1:24" x14ac:dyDescent="0.25">
      <c r="A4" s="741"/>
      <c r="B4" s="302"/>
      <c r="C4" s="303"/>
      <c r="D4"/>
      <c r="E4" s="47"/>
      <c r="F4" s="47"/>
      <c r="G4"/>
      <c r="H4" s="741"/>
      <c r="L4" s="1086"/>
      <c r="M4" s="1086"/>
      <c r="X4" s="445"/>
    </row>
    <row r="5" spans="1:24" s="512" customFormat="1" x14ac:dyDescent="0.25">
      <c r="A5" s="741"/>
      <c r="B5" s="302"/>
      <c r="C5" s="696" t="s">
        <v>711</v>
      </c>
      <c r="D5" s="302"/>
      <c r="E5" s="47"/>
      <c r="F5" s="696" t="s">
        <v>720</v>
      </c>
      <c r="G5" s="302"/>
      <c r="H5" s="741"/>
      <c r="I5" s="744"/>
      <c r="J5" s="744"/>
      <c r="K5" s="744"/>
      <c r="L5" s="1086"/>
      <c r="M5" s="1085"/>
      <c r="N5" s="744"/>
      <c r="O5" s="744"/>
      <c r="P5" s="744"/>
      <c r="Q5" s="744"/>
      <c r="R5" s="744"/>
      <c r="S5" s="744"/>
      <c r="T5" s="744"/>
      <c r="U5" s="744"/>
      <c r="V5" s="744"/>
      <c r="W5" s="744"/>
      <c r="X5" s="445"/>
    </row>
    <row r="6" spans="1:24" s="512" customFormat="1" x14ac:dyDescent="0.25">
      <c r="A6" s="741"/>
      <c r="B6" s="296"/>
      <c r="C6" s="338" t="s">
        <v>726</v>
      </c>
      <c r="D6" s="200">
        <v>2010</v>
      </c>
      <c r="E6" s="200">
        <v>2020</v>
      </c>
      <c r="F6" s="776">
        <v>2013</v>
      </c>
      <c r="G6" s="7"/>
      <c r="H6" s="741"/>
      <c r="I6" s="744"/>
      <c r="J6" s="744"/>
      <c r="K6" s="744"/>
      <c r="L6" s="1086"/>
      <c r="M6" s="1085"/>
      <c r="N6" s="744"/>
      <c r="O6" s="744"/>
      <c r="P6" s="744"/>
      <c r="Q6" s="744"/>
      <c r="R6" s="744"/>
      <c r="S6" s="744"/>
      <c r="T6" s="744"/>
      <c r="U6" s="744"/>
      <c r="V6" s="744"/>
      <c r="W6" s="744"/>
      <c r="X6" s="445"/>
    </row>
    <row r="7" spans="1:24" s="512" customFormat="1" x14ac:dyDescent="0.25">
      <c r="A7" s="741"/>
      <c r="B7" s="296"/>
      <c r="C7" s="745" t="s">
        <v>577</v>
      </c>
      <c r="F7" s="304"/>
      <c r="G7" s="7"/>
      <c r="H7" s="741"/>
      <c r="I7" s="744"/>
      <c r="J7" s="744"/>
      <c r="K7" s="1116"/>
      <c r="L7" s="1116"/>
      <c r="M7" s="1086"/>
      <c r="N7" s="1085"/>
      <c r="O7" s="744"/>
      <c r="P7" s="744"/>
      <c r="Q7" s="744"/>
      <c r="R7" s="744"/>
      <c r="S7" s="744"/>
      <c r="T7" s="744"/>
      <c r="U7" s="744"/>
      <c r="V7" s="744"/>
      <c r="W7" s="744"/>
      <c r="X7" s="445"/>
    </row>
    <row r="8" spans="1:24" s="512" customFormat="1" x14ac:dyDescent="0.25">
      <c r="A8" s="741"/>
      <c r="B8" s="296"/>
      <c r="C8" s="443" t="s">
        <v>27</v>
      </c>
      <c r="D8" s="84" t="str">
        <f>F8</f>
        <v>Suburban</v>
      </c>
      <c r="E8" s="84" t="str">
        <f>F8</f>
        <v>Suburban</v>
      </c>
      <c r="F8" s="84" t="s">
        <v>30</v>
      </c>
      <c r="G8" s="47"/>
      <c r="H8" s="741"/>
      <c r="I8" s="744"/>
      <c r="J8" s="744"/>
      <c r="K8" s="1116"/>
      <c r="L8" s="1116"/>
      <c r="M8" s="1086"/>
      <c r="N8" s="1085"/>
      <c r="O8" s="744"/>
      <c r="P8" s="744"/>
      <c r="Q8" s="744"/>
      <c r="R8" s="744"/>
      <c r="S8" s="744"/>
      <c r="T8" s="744"/>
      <c r="U8" s="744"/>
      <c r="V8" s="744"/>
      <c r="W8" s="744"/>
      <c r="X8" s="445"/>
    </row>
    <row r="9" spans="1:24" s="512" customFormat="1" x14ac:dyDescent="0.25">
      <c r="A9" s="741"/>
      <c r="B9" s="296"/>
      <c r="C9" s="773" t="s">
        <v>574</v>
      </c>
      <c r="D9" s="84" t="str">
        <f t="shared" ref="D9:D17" si="0">F9</f>
        <v>Principal Arterial Class I</v>
      </c>
      <c r="E9" s="84" t="str">
        <f t="shared" ref="E9:E17" si="1">F9</f>
        <v>Principal Arterial Class I</v>
      </c>
      <c r="F9" s="33" t="s">
        <v>226</v>
      </c>
      <c r="G9" s="47"/>
      <c r="H9" s="741"/>
      <c r="I9" s="744"/>
      <c r="J9" s="744"/>
      <c r="K9" s="1116"/>
      <c r="L9" s="1116"/>
      <c r="M9" s="1086"/>
      <c r="N9" s="1085"/>
      <c r="O9" s="744"/>
      <c r="P9" s="744"/>
      <c r="Q9" s="744"/>
      <c r="R9" s="744"/>
      <c r="S9" s="744"/>
      <c r="T9" s="744"/>
      <c r="U9" s="744"/>
      <c r="V9" s="744"/>
      <c r="W9" s="744"/>
      <c r="X9" s="445"/>
    </row>
    <row r="10" spans="1:24" s="512" customFormat="1" x14ac:dyDescent="0.25">
      <c r="A10" s="741"/>
      <c r="B10" s="296"/>
      <c r="C10" s="774" t="s">
        <v>600</v>
      </c>
      <c r="D10" s="84">
        <f t="shared" si="0"/>
        <v>5.5</v>
      </c>
      <c r="E10" s="84">
        <f t="shared" si="1"/>
        <v>5.5</v>
      </c>
      <c r="F10" s="193">
        <v>5.5</v>
      </c>
      <c r="G10" s="39"/>
      <c r="H10" s="741"/>
      <c r="I10" s="744"/>
      <c r="J10" s="744"/>
      <c r="K10" s="1116"/>
      <c r="L10" s="1116"/>
      <c r="M10" s="1086"/>
      <c r="N10" s="1085"/>
      <c r="O10" s="744"/>
      <c r="P10" s="744"/>
      <c r="Q10" s="744"/>
      <c r="R10" s="744"/>
      <c r="S10" s="744"/>
      <c r="T10" s="744"/>
      <c r="U10" s="744"/>
      <c r="V10" s="744"/>
      <c r="W10" s="744"/>
      <c r="X10" s="445"/>
    </row>
    <row r="11" spans="1:24" s="512" customFormat="1" x14ac:dyDescent="0.25">
      <c r="A11" s="741"/>
      <c r="B11" s="296"/>
      <c r="C11" s="773" t="s">
        <v>130</v>
      </c>
      <c r="D11" s="84" t="str">
        <f t="shared" si="0"/>
        <v>Principal Arterial Class II</v>
      </c>
      <c r="E11" s="84" t="str">
        <f t="shared" si="1"/>
        <v>Principal Arterial Class II</v>
      </c>
      <c r="F11" s="33" t="s">
        <v>227</v>
      </c>
      <c r="G11" s="47"/>
      <c r="H11" s="741"/>
      <c r="I11" s="744"/>
      <c r="J11" s="744"/>
      <c r="K11" s="1116"/>
      <c r="L11" s="1116"/>
      <c r="M11" s="1086"/>
      <c r="N11" s="1085"/>
      <c r="O11" s="744"/>
      <c r="P11" s="744"/>
      <c r="Q11" s="744"/>
      <c r="R11" s="744"/>
      <c r="S11" s="744"/>
      <c r="T11" s="744"/>
      <c r="U11" s="744"/>
      <c r="V11" s="744"/>
      <c r="W11" s="744"/>
      <c r="X11" s="445"/>
    </row>
    <row r="12" spans="1:24" s="512" customFormat="1" x14ac:dyDescent="0.25">
      <c r="A12" s="741"/>
      <c r="B12" s="296"/>
      <c r="C12" s="774" t="s">
        <v>601</v>
      </c>
      <c r="D12" s="84">
        <f t="shared" si="0"/>
        <v>3</v>
      </c>
      <c r="E12" s="84">
        <f t="shared" si="1"/>
        <v>3</v>
      </c>
      <c r="F12" s="193">
        <v>3</v>
      </c>
      <c r="G12" s="39"/>
      <c r="H12" s="741"/>
      <c r="I12" s="744"/>
      <c r="J12" s="1116"/>
      <c r="K12" s="1116"/>
      <c r="L12" s="744"/>
      <c r="M12" s="744"/>
      <c r="N12" s="744"/>
      <c r="O12" s="744"/>
      <c r="P12" s="744"/>
      <c r="Q12" s="744"/>
      <c r="R12" s="744"/>
      <c r="S12" s="744"/>
      <c r="T12" s="744"/>
      <c r="U12" s="744"/>
      <c r="V12" s="744"/>
      <c r="W12" s="744"/>
      <c r="X12" s="445"/>
    </row>
    <row r="13" spans="1:24" s="512" customFormat="1" x14ac:dyDescent="0.25">
      <c r="A13" s="741"/>
      <c r="B13" s="296"/>
      <c r="C13" s="359" t="s">
        <v>598</v>
      </c>
      <c r="D13" s="84">
        <f t="shared" si="0"/>
        <v>4500</v>
      </c>
      <c r="E13" s="84">
        <f t="shared" si="1"/>
        <v>4500</v>
      </c>
      <c r="F13" s="36">
        <v>4500</v>
      </c>
      <c r="G13" s="12"/>
      <c r="H13" s="741"/>
      <c r="I13" s="744"/>
      <c r="J13" s="1116"/>
      <c r="K13" s="1116"/>
      <c r="L13" s="924"/>
      <c r="M13" s="744"/>
      <c r="N13" s="744"/>
      <c r="O13" s="744"/>
      <c r="P13" s="744"/>
      <c r="Q13" s="744"/>
      <c r="R13" s="744"/>
      <c r="S13" s="744"/>
      <c r="T13" s="744"/>
      <c r="U13" s="744"/>
      <c r="V13" s="744"/>
      <c r="W13" s="744"/>
    </row>
    <row r="14" spans="1:24" s="512" customFormat="1" x14ac:dyDescent="0.25">
      <c r="A14" s="741"/>
      <c r="B14" s="296"/>
      <c r="C14" s="359" t="s">
        <v>599</v>
      </c>
      <c r="D14" s="84">
        <f t="shared" si="0"/>
        <v>2500</v>
      </c>
      <c r="E14" s="84">
        <f t="shared" si="1"/>
        <v>2500</v>
      </c>
      <c r="F14" s="36">
        <v>2500</v>
      </c>
      <c r="G14" s="12"/>
      <c r="H14" s="741"/>
      <c r="I14" s="744"/>
      <c r="J14" s="1116"/>
      <c r="K14" s="1116"/>
      <c r="L14" s="924"/>
      <c r="M14" s="744"/>
      <c r="N14" s="744"/>
      <c r="O14" s="744"/>
      <c r="P14" s="744"/>
      <c r="Q14" s="744"/>
      <c r="R14" s="744"/>
      <c r="S14" s="744"/>
      <c r="T14" s="744"/>
      <c r="U14" s="744"/>
      <c r="V14" s="744"/>
      <c r="W14" s="744"/>
    </row>
    <row r="15" spans="1:24" s="512" customFormat="1" x14ac:dyDescent="0.25">
      <c r="A15" s="741"/>
      <c r="B15" s="296"/>
      <c r="C15" s="348" t="s">
        <v>34</v>
      </c>
      <c r="D15" s="84">
        <f t="shared" si="0"/>
        <v>0.1</v>
      </c>
      <c r="E15" s="84">
        <f t="shared" si="1"/>
        <v>0.1</v>
      </c>
      <c r="F15" s="37">
        <v>0.1</v>
      </c>
      <c r="G15" s="12"/>
      <c r="H15" s="741"/>
      <c r="I15" s="744"/>
      <c r="J15" s="1116"/>
      <c r="K15" s="1116"/>
      <c r="L15" s="744"/>
      <c r="M15" s="744"/>
      <c r="N15" s="744"/>
      <c r="O15" s="744"/>
      <c r="P15" s="744"/>
      <c r="Q15" s="744"/>
      <c r="R15" s="744"/>
      <c r="S15" s="744"/>
      <c r="T15" s="744"/>
      <c r="U15" s="744"/>
      <c r="V15" s="744"/>
      <c r="W15" s="744"/>
    </row>
    <row r="16" spans="1:24" s="512" customFormat="1" x14ac:dyDescent="0.25">
      <c r="A16" s="741"/>
      <c r="B16" s="296"/>
      <c r="C16" s="348" t="s">
        <v>35</v>
      </c>
      <c r="D16" s="84">
        <f t="shared" si="0"/>
        <v>0.09</v>
      </c>
      <c r="E16" s="84">
        <f t="shared" si="1"/>
        <v>0.09</v>
      </c>
      <c r="F16" s="37">
        <v>0.09</v>
      </c>
      <c r="G16" s="12"/>
      <c r="H16" s="741"/>
      <c r="I16" s="744"/>
      <c r="J16" s="1116"/>
      <c r="K16" s="1116"/>
      <c r="L16" s="744"/>
      <c r="M16" s="744"/>
      <c r="N16" s="744"/>
      <c r="O16" s="744"/>
      <c r="P16" s="744"/>
      <c r="Q16" s="744"/>
      <c r="R16" s="744"/>
      <c r="S16" s="744"/>
      <c r="T16" s="744"/>
      <c r="U16" s="744"/>
      <c r="V16" s="744"/>
      <c r="W16" s="744"/>
    </row>
    <row r="17" spans="1:23" s="512" customFormat="1" x14ac:dyDescent="0.25">
      <c r="A17" s="741"/>
      <c r="B17" s="296"/>
      <c r="C17" s="467" t="s">
        <v>693</v>
      </c>
      <c r="D17" s="84">
        <f t="shared" si="0"/>
        <v>100</v>
      </c>
      <c r="E17" s="84">
        <f t="shared" si="1"/>
        <v>100</v>
      </c>
      <c r="F17" s="68">
        <v>100</v>
      </c>
      <c r="G17" s="19"/>
      <c r="H17" s="741"/>
      <c r="I17" s="744"/>
      <c r="J17" s="1116"/>
      <c r="K17" s="1116"/>
      <c r="L17" s="744"/>
      <c r="M17" s="744"/>
      <c r="N17" s="744"/>
      <c r="O17" s="744"/>
      <c r="P17" s="744"/>
      <c r="Q17" s="744"/>
      <c r="R17" s="744"/>
      <c r="S17" s="744"/>
      <c r="T17" s="744"/>
      <c r="U17" s="744"/>
      <c r="V17" s="744"/>
      <c r="W17" s="744"/>
    </row>
    <row r="18" spans="1:23" s="512" customFormat="1" x14ac:dyDescent="0.25">
      <c r="A18" s="741"/>
      <c r="B18" s="296"/>
      <c r="C18" s="745" t="s">
        <v>0</v>
      </c>
      <c r="D18" s="464"/>
      <c r="E18" s="464"/>
      <c r="F18" s="464"/>
      <c r="G18" s="19"/>
      <c r="H18" s="741"/>
      <c r="I18" s="744"/>
      <c r="J18" s="1116"/>
      <c r="K18" s="1116"/>
      <c r="L18" s="1086"/>
      <c r="M18" s="744"/>
      <c r="N18" s="744"/>
      <c r="O18" s="744"/>
      <c r="P18" s="744"/>
      <c r="Q18" s="744"/>
      <c r="R18" s="744"/>
      <c r="S18" s="744"/>
      <c r="T18" s="744"/>
      <c r="U18" s="744"/>
      <c r="V18" s="744"/>
      <c r="W18" s="744"/>
    </row>
    <row r="19" spans="1:23" s="512" customFormat="1" x14ac:dyDescent="0.25">
      <c r="A19" s="741"/>
      <c r="B19" s="296"/>
      <c r="C19" s="443" t="s">
        <v>265</v>
      </c>
      <c r="D19" s="34">
        <f>F19</f>
        <v>15</v>
      </c>
      <c r="E19" s="34">
        <f>F19</f>
        <v>15</v>
      </c>
      <c r="F19" s="34">
        <v>15</v>
      </c>
      <c r="G19" s="19"/>
      <c r="H19" s="741"/>
      <c r="I19" s="744"/>
      <c r="J19" s="1116"/>
      <c r="K19" s="1116"/>
      <c r="L19" s="1086"/>
      <c r="M19" s="744"/>
      <c r="N19" s="744"/>
      <c r="O19" s="744"/>
      <c r="P19" s="744"/>
      <c r="Q19" s="744"/>
      <c r="R19" s="744"/>
      <c r="S19" s="744"/>
      <c r="T19" s="744"/>
      <c r="U19" s="744"/>
      <c r="V19" s="744"/>
      <c r="W19" s="744"/>
    </row>
    <row r="20" spans="1:23" s="512" customFormat="1" x14ac:dyDescent="0.25">
      <c r="A20" s="741"/>
      <c r="B20" s="296"/>
      <c r="C20" s="443" t="s">
        <v>692</v>
      </c>
      <c r="D20" s="268">
        <f t="shared" ref="D20:D23" si="2">F20</f>
        <v>18</v>
      </c>
      <c r="E20" s="268">
        <f t="shared" ref="E20:E23" si="3">F20</f>
        <v>18</v>
      </c>
      <c r="F20" s="34">
        <v>18</v>
      </c>
      <c r="G20" s="7"/>
      <c r="H20" s="741"/>
      <c r="I20" s="744"/>
      <c r="J20" s="1116"/>
      <c r="K20" s="1116"/>
      <c r="L20" s="1086"/>
      <c r="M20" s="744"/>
      <c r="N20" s="744"/>
      <c r="O20" s="744"/>
      <c r="P20" s="744"/>
      <c r="Q20" s="744"/>
      <c r="R20" s="744"/>
      <c r="S20" s="744"/>
      <c r="T20" s="744"/>
      <c r="U20" s="744"/>
      <c r="V20" s="744"/>
      <c r="W20" s="744"/>
    </row>
    <row r="21" spans="1:23" s="512" customFormat="1" x14ac:dyDescent="0.25">
      <c r="A21" s="741"/>
      <c r="B21" s="296"/>
      <c r="C21" s="348" t="s">
        <v>268</v>
      </c>
      <c r="D21" s="268">
        <f t="shared" si="2"/>
        <v>100</v>
      </c>
      <c r="E21" s="268">
        <f t="shared" si="3"/>
        <v>100</v>
      </c>
      <c r="F21" s="34">
        <v>100</v>
      </c>
      <c r="G21" s="241"/>
      <c r="H21" s="741"/>
      <c r="I21" s="744"/>
      <c r="J21" s="1116"/>
      <c r="K21" s="1116"/>
      <c r="L21" s="1086"/>
      <c r="M21" s="744"/>
      <c r="N21" s="744"/>
      <c r="O21" s="744"/>
      <c r="P21" s="744"/>
      <c r="Q21" s="744"/>
      <c r="R21" s="744"/>
      <c r="S21" s="744"/>
      <c r="T21" s="744"/>
      <c r="U21" s="744"/>
      <c r="V21" s="744"/>
      <c r="W21" s="744"/>
    </row>
    <row r="22" spans="1:23" s="512" customFormat="1" x14ac:dyDescent="0.25">
      <c r="A22" s="741"/>
      <c r="B22" s="296"/>
      <c r="C22" s="348" t="s">
        <v>602</v>
      </c>
      <c r="D22" s="268">
        <f t="shared" si="2"/>
        <v>5</v>
      </c>
      <c r="E22" s="268">
        <f t="shared" si="3"/>
        <v>5</v>
      </c>
      <c r="F22" s="34">
        <v>5</v>
      </c>
      <c r="G22" s="241"/>
      <c r="H22" s="741"/>
      <c r="I22" s="744"/>
      <c r="J22" s="1116"/>
      <c r="K22" s="1116"/>
      <c r="L22" s="1086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</row>
    <row r="23" spans="1:23" s="512" customFormat="1" x14ac:dyDescent="0.25">
      <c r="A23" s="741"/>
      <c r="B23" s="296"/>
      <c r="C23" s="348" t="s">
        <v>605</v>
      </c>
      <c r="D23" s="268">
        <f t="shared" si="2"/>
        <v>30</v>
      </c>
      <c r="E23" s="268">
        <f t="shared" si="3"/>
        <v>30</v>
      </c>
      <c r="F23" s="34">
        <v>30</v>
      </c>
      <c r="G23" s="241"/>
      <c r="H23" s="741"/>
      <c r="I23" s="744"/>
      <c r="J23" s="1116"/>
      <c r="K23" s="1116"/>
      <c r="L23" s="1086"/>
      <c r="M23" s="744"/>
      <c r="N23" s="744"/>
      <c r="O23" s="744"/>
      <c r="P23" s="744"/>
      <c r="Q23" s="744"/>
      <c r="R23" s="744"/>
      <c r="S23" s="744"/>
      <c r="T23" s="744"/>
      <c r="U23" s="744"/>
      <c r="V23" s="744"/>
      <c r="W23" s="744"/>
    </row>
    <row r="24" spans="1:23" s="512" customFormat="1" x14ac:dyDescent="0.25">
      <c r="A24" s="741"/>
      <c r="B24" s="296"/>
      <c r="C24" s="189"/>
      <c r="D24" s="748"/>
      <c r="E24" s="748"/>
      <c r="F24" s="748"/>
      <c r="G24" s="241"/>
      <c r="H24" s="741"/>
      <c r="I24" s="744"/>
      <c r="J24" s="1116"/>
      <c r="K24" s="1116"/>
      <c r="L24" s="1086"/>
      <c r="M24" s="744"/>
      <c r="N24" s="744"/>
      <c r="O24" s="744"/>
      <c r="P24" s="744"/>
      <c r="Q24" s="744"/>
      <c r="R24" s="744"/>
      <c r="S24" s="744"/>
      <c r="T24" s="744"/>
      <c r="U24" s="744"/>
      <c r="V24" s="744"/>
      <c r="W24" s="744"/>
    </row>
    <row r="25" spans="1:23" s="512" customFormat="1" x14ac:dyDescent="0.25">
      <c r="A25" s="741"/>
      <c r="B25" s="296"/>
      <c r="C25" s="379" t="s">
        <v>594</v>
      </c>
      <c r="D25" s="239">
        <f>F25</f>
        <v>0.1</v>
      </c>
      <c r="E25" s="239">
        <f>F25</f>
        <v>0.1</v>
      </c>
      <c r="F25" s="239">
        <v>0.1</v>
      </c>
      <c r="G25" s="252"/>
      <c r="H25" s="741"/>
      <c r="I25" s="744"/>
      <c r="J25" s="1116"/>
      <c r="K25" s="1116"/>
      <c r="L25" s="1086"/>
      <c r="M25" s="744"/>
      <c r="N25" s="744"/>
      <c r="O25" s="744"/>
      <c r="P25" s="744"/>
      <c r="Q25" s="744"/>
      <c r="R25" s="744"/>
      <c r="S25" s="744"/>
      <c r="T25" s="744"/>
      <c r="U25" s="744"/>
      <c r="V25" s="744"/>
      <c r="W25" s="744"/>
    </row>
    <row r="26" spans="1:23" s="512" customFormat="1" x14ac:dyDescent="0.25">
      <c r="A26" s="741"/>
      <c r="B26" s="296"/>
      <c r="C26" s="1249" t="s">
        <v>358</v>
      </c>
      <c r="D26" s="1249"/>
      <c r="E26" s="1249"/>
      <c r="F26" s="1249"/>
      <c r="G26" s="241"/>
      <c r="H26" s="741"/>
      <c r="I26" s="744"/>
      <c r="J26" s="1116"/>
      <c r="K26" s="1116"/>
      <c r="L26" s="1086"/>
      <c r="M26" s="744"/>
      <c r="N26" s="744"/>
      <c r="O26" s="744"/>
      <c r="P26" s="744"/>
      <c r="Q26" s="744"/>
      <c r="R26" s="744"/>
      <c r="S26" s="744"/>
      <c r="T26" s="744"/>
      <c r="U26" s="744"/>
      <c r="V26" s="744"/>
      <c r="W26" s="744"/>
    </row>
    <row r="27" spans="1:23" s="512" customFormat="1" x14ac:dyDescent="0.25">
      <c r="A27" s="741"/>
      <c r="B27" s="296"/>
      <c r="C27" s="348" t="s">
        <v>593</v>
      </c>
      <c r="D27" s="34">
        <f>F27</f>
        <v>10</v>
      </c>
      <c r="E27" s="34">
        <f>F27</f>
        <v>10</v>
      </c>
      <c r="F27" s="34">
        <v>10</v>
      </c>
      <c r="G27" s="236"/>
      <c r="H27" s="741"/>
      <c r="I27" s="744"/>
      <c r="J27" s="1116"/>
      <c r="K27" s="1116"/>
      <c r="L27" s="1086"/>
      <c r="M27" s="744"/>
      <c r="N27" s="744"/>
      <c r="O27" s="744"/>
      <c r="P27" s="744"/>
      <c r="Q27" s="744"/>
      <c r="R27" s="744"/>
      <c r="S27" s="744"/>
      <c r="T27" s="744"/>
      <c r="U27" s="744"/>
      <c r="V27" s="744"/>
      <c r="W27" s="744"/>
    </row>
    <row r="28" spans="1:23" s="512" customFormat="1" x14ac:dyDescent="0.25">
      <c r="A28" s="741"/>
      <c r="B28" s="296"/>
      <c r="C28" s="189"/>
      <c r="D28" s="381"/>
      <c r="E28" s="381"/>
      <c r="F28" s="381"/>
      <c r="G28" s="236"/>
      <c r="H28" s="741"/>
      <c r="I28" s="744"/>
      <c r="J28" s="1116"/>
      <c r="K28" s="1116"/>
      <c r="L28" s="1086"/>
      <c r="M28" s="744"/>
      <c r="N28" s="744"/>
      <c r="O28" s="744"/>
      <c r="P28" s="744"/>
      <c r="Q28" s="744"/>
      <c r="R28" s="744"/>
      <c r="S28" s="744"/>
      <c r="T28" s="744"/>
      <c r="U28" s="744"/>
      <c r="V28" s="744"/>
      <c r="W28" s="744"/>
    </row>
    <row r="29" spans="1:23" s="512" customFormat="1" ht="15.75" x14ac:dyDescent="0.25">
      <c r="A29" s="741"/>
      <c r="B29" s="296"/>
      <c r="C29" s="1200" t="s">
        <v>702</v>
      </c>
      <c r="D29" s="1200"/>
      <c r="E29" s="1200"/>
      <c r="F29" s="1200"/>
      <c r="G29" s="236"/>
      <c r="H29" s="741"/>
      <c r="I29" s="744"/>
      <c r="J29" s="1116"/>
      <c r="K29" s="1116"/>
      <c r="L29" s="1086"/>
      <c r="M29" s="1086"/>
      <c r="N29" s="744"/>
      <c r="O29" s="744"/>
      <c r="P29" s="744"/>
      <c r="Q29" s="744"/>
      <c r="R29" s="744"/>
      <c r="S29" s="744"/>
      <c r="T29" s="744"/>
      <c r="U29" s="744"/>
      <c r="V29" s="744"/>
      <c r="W29" s="744"/>
    </row>
    <row r="30" spans="1:23" s="512" customFormat="1" x14ac:dyDescent="0.25">
      <c r="A30" s="741"/>
      <c r="B30" s="296"/>
      <c r="C30" s="745" t="s">
        <v>1</v>
      </c>
      <c r="D30" s="26"/>
      <c r="E30" s="26"/>
      <c r="F30" s="26"/>
      <c r="G30" s="236"/>
      <c r="H30" s="741"/>
      <c r="I30" s="744"/>
      <c r="J30" s="1116"/>
      <c r="K30" s="1116"/>
      <c r="L30" s="1086"/>
      <c r="M30" s="1085"/>
      <c r="N30" s="744"/>
      <c r="O30" s="744"/>
      <c r="P30" s="744"/>
      <c r="Q30" s="744"/>
      <c r="R30" s="744"/>
      <c r="S30" s="744"/>
      <c r="T30" s="744"/>
      <c r="U30" s="744"/>
      <c r="V30" s="744"/>
      <c r="W30" s="744"/>
    </row>
    <row r="31" spans="1:23" s="512" customFormat="1" x14ac:dyDescent="0.25">
      <c r="A31" s="741"/>
      <c r="B31" s="296"/>
      <c r="C31" s="444" t="s">
        <v>51</v>
      </c>
      <c r="D31" s="169">
        <v>1.2</v>
      </c>
      <c r="E31" s="169">
        <v>1.2</v>
      </c>
      <c r="F31" s="169">
        <f t="shared" ref="F31:F37" si="4">TREND(D31:E31,$D$6:$E$6,$F$6)</f>
        <v>1.2</v>
      </c>
      <c r="G31" s="236"/>
      <c r="H31" s="741"/>
      <c r="I31" s="744"/>
      <c r="J31" s="1116"/>
      <c r="K31" s="1116"/>
      <c r="L31" s="1086"/>
      <c r="M31" s="1085"/>
      <c r="N31" s="744"/>
      <c r="O31" s="744"/>
      <c r="P31" s="744"/>
      <c r="Q31" s="744"/>
      <c r="R31" s="744"/>
      <c r="S31" s="744"/>
      <c r="T31" s="744"/>
      <c r="U31" s="744"/>
      <c r="V31" s="744"/>
      <c r="W31" s="744"/>
    </row>
    <row r="32" spans="1:23" s="512" customFormat="1" x14ac:dyDescent="0.25">
      <c r="A32" s="741"/>
      <c r="B32" s="296"/>
      <c r="C32" s="379" t="s">
        <v>69</v>
      </c>
      <c r="D32" s="20">
        <v>10</v>
      </c>
      <c r="E32" s="20">
        <v>10</v>
      </c>
      <c r="F32" s="169">
        <f t="shared" si="4"/>
        <v>10</v>
      </c>
      <c r="G32" s="7"/>
      <c r="H32" s="741"/>
      <c r="I32" s="744"/>
      <c r="J32" s="1116"/>
      <c r="K32" s="1116"/>
      <c r="L32" s="1086"/>
      <c r="M32" s="1085"/>
      <c r="N32" s="744"/>
      <c r="O32" s="744"/>
      <c r="P32" s="744"/>
      <c r="Q32" s="744"/>
      <c r="R32" s="744"/>
      <c r="S32" s="744"/>
      <c r="T32" s="744"/>
      <c r="U32" s="744"/>
      <c r="V32" s="744"/>
      <c r="W32" s="744"/>
    </row>
    <row r="33" spans="1:23" s="512" customFormat="1" x14ac:dyDescent="0.25">
      <c r="A33" s="741"/>
      <c r="B33" s="296"/>
      <c r="C33" s="379" t="s">
        <v>71</v>
      </c>
      <c r="D33" s="20">
        <v>250</v>
      </c>
      <c r="E33" s="20">
        <v>250</v>
      </c>
      <c r="F33" s="169">
        <f t="shared" si="4"/>
        <v>250</v>
      </c>
      <c r="G33" s="26"/>
      <c r="H33" s="741"/>
      <c r="I33" s="744"/>
      <c r="J33" s="744"/>
      <c r="K33" s="744"/>
      <c r="L33" s="1086"/>
      <c r="M33" s="1085"/>
      <c r="N33" s="744"/>
      <c r="O33" s="744"/>
      <c r="P33" s="744"/>
      <c r="Q33" s="744"/>
      <c r="R33" s="744"/>
      <c r="S33" s="744"/>
      <c r="T33" s="744"/>
      <c r="U33" s="744"/>
      <c r="V33" s="744"/>
      <c r="W33" s="744"/>
    </row>
    <row r="34" spans="1:23" s="512" customFormat="1" x14ac:dyDescent="0.25">
      <c r="A34" s="741"/>
      <c r="B34" s="296"/>
      <c r="C34" s="379" t="s">
        <v>85</v>
      </c>
      <c r="D34" s="20">
        <v>0.5</v>
      </c>
      <c r="E34" s="20">
        <v>0.5</v>
      </c>
      <c r="F34" s="169">
        <f t="shared" si="4"/>
        <v>0.5</v>
      </c>
      <c r="G34" s="47"/>
      <c r="H34" s="741"/>
      <c r="I34" s="744"/>
      <c r="J34" s="744"/>
      <c r="K34" s="744"/>
      <c r="L34" s="1086"/>
      <c r="M34" s="1085"/>
      <c r="N34" s="744"/>
      <c r="O34" s="744"/>
      <c r="P34" s="744"/>
      <c r="Q34" s="744"/>
      <c r="R34" s="744"/>
      <c r="S34" s="744"/>
      <c r="T34" s="744"/>
      <c r="U34" s="744"/>
      <c r="V34" s="744"/>
      <c r="W34" s="744"/>
    </row>
    <row r="35" spans="1:23" s="512" customFormat="1" x14ac:dyDescent="0.25">
      <c r="A35" s="741"/>
      <c r="B35" s="296"/>
      <c r="C35" s="379" t="s">
        <v>575</v>
      </c>
      <c r="D35" s="233">
        <f>IF(D25=0,(D27/D17)+D34,((D17*D25)/100)+D34)</f>
        <v>0.6</v>
      </c>
      <c r="E35" s="233">
        <f>IF(E25=0,(E27/E17)+E34,((E17*E25)/100)+E34)</f>
        <v>0.6</v>
      </c>
      <c r="F35" s="233">
        <f t="shared" si="4"/>
        <v>0.6</v>
      </c>
      <c r="G35" s="7"/>
      <c r="H35" s="741"/>
      <c r="I35" s="744"/>
      <c r="J35" s="744"/>
      <c r="K35" s="744"/>
      <c r="L35" s="1086"/>
      <c r="M35" s="1085"/>
      <c r="N35" s="744"/>
      <c r="O35" s="744"/>
      <c r="P35" s="744"/>
      <c r="Q35" s="744"/>
      <c r="R35" s="744"/>
      <c r="S35" s="744"/>
      <c r="T35" s="744"/>
      <c r="U35" s="744"/>
      <c r="V35" s="744"/>
      <c r="W35" s="744"/>
    </row>
    <row r="36" spans="1:23" s="512" customFormat="1" x14ac:dyDescent="0.25">
      <c r="A36" s="741"/>
      <c r="B36" s="296"/>
      <c r="C36" s="379" t="s">
        <v>576</v>
      </c>
      <c r="D36" s="233">
        <f>IF(D25=0,D34-(D27/D17),D34-((D17*D25)/100))</f>
        <v>0.4</v>
      </c>
      <c r="E36" s="233">
        <f>IF(E25=0,E34-(E27/E17),E34-((E17*E25)/100))</f>
        <v>0.4</v>
      </c>
      <c r="F36" s="233">
        <f t="shared" si="4"/>
        <v>0.4</v>
      </c>
      <c r="G36" s="7"/>
      <c r="H36" s="741"/>
      <c r="I36" s="744"/>
      <c r="J36" s="744"/>
      <c r="K36" s="744"/>
      <c r="L36" s="1086"/>
      <c r="M36" s="1085"/>
      <c r="N36" s="744"/>
      <c r="O36" s="744"/>
      <c r="P36" s="744"/>
      <c r="Q36" s="744"/>
      <c r="R36" s="744"/>
      <c r="S36" s="744"/>
      <c r="T36" s="744"/>
      <c r="U36" s="744"/>
      <c r="V36" s="744"/>
      <c r="W36" s="744"/>
    </row>
    <row r="37" spans="1:23" s="512" customFormat="1" x14ac:dyDescent="0.25">
      <c r="A37" s="741"/>
      <c r="B37" s="296"/>
      <c r="C37" s="379" t="s">
        <v>578</v>
      </c>
      <c r="D37" s="233">
        <v>-0.4</v>
      </c>
      <c r="E37" s="233">
        <v>-0.4</v>
      </c>
      <c r="F37" s="233">
        <f t="shared" si="4"/>
        <v>-0.4</v>
      </c>
      <c r="G37" s="261"/>
      <c r="H37" s="741"/>
      <c r="I37" s="1117"/>
      <c r="J37" s="744"/>
      <c r="K37" s="744"/>
      <c r="L37" s="1086"/>
      <c r="M37" s="1085"/>
      <c r="N37" s="744"/>
      <c r="O37" s="744"/>
      <c r="P37" s="744"/>
      <c r="Q37" s="744"/>
      <c r="R37" s="744"/>
      <c r="S37" s="744"/>
      <c r="T37" s="744"/>
      <c r="U37" s="744"/>
      <c r="V37" s="744"/>
      <c r="W37" s="744"/>
    </row>
    <row r="38" spans="1:23" s="512" customFormat="1" x14ac:dyDescent="0.25">
      <c r="A38" s="741"/>
      <c r="B38" s="296"/>
      <c r="C38" s="379" t="s">
        <v>607</v>
      </c>
      <c r="D38" s="240">
        <f>(60/D19)*D20*2</f>
        <v>144</v>
      </c>
      <c r="E38" s="240">
        <f>(60/E19)*E20*2</f>
        <v>144</v>
      </c>
      <c r="F38" s="240">
        <f>(60/F19)*F20*2</f>
        <v>144</v>
      </c>
      <c r="G38"/>
      <c r="H38" s="741"/>
      <c r="I38" s="744"/>
      <c r="J38" s="744"/>
      <c r="K38" s="744"/>
      <c r="L38" s="1086"/>
      <c r="M38" s="1085"/>
      <c r="N38" s="1116"/>
      <c r="O38" s="744"/>
      <c r="P38" s="744"/>
      <c r="Q38" s="744"/>
      <c r="R38" s="744"/>
      <c r="S38" s="744"/>
      <c r="T38" s="744"/>
      <c r="U38" s="744"/>
      <c r="V38" s="744"/>
      <c r="W38" s="744"/>
    </row>
    <row r="39" spans="1:23" x14ac:dyDescent="0.25">
      <c r="A39" s="741"/>
      <c r="B39" s="296"/>
      <c r="C39" s="379" t="s">
        <v>608</v>
      </c>
      <c r="D39" s="240">
        <v>16</v>
      </c>
      <c r="E39" s="240">
        <v>16</v>
      </c>
      <c r="F39" s="240">
        <v>16</v>
      </c>
      <c r="G39" s="167"/>
      <c r="H39" s="741"/>
      <c r="L39" s="1116"/>
      <c r="N39" s="1116"/>
    </row>
    <row r="40" spans="1:23" x14ac:dyDescent="0.25">
      <c r="A40" s="741"/>
      <c r="B40" s="296"/>
      <c r="C40" s="745" t="s">
        <v>580</v>
      </c>
      <c r="D40" s="489"/>
      <c r="E40" s="489"/>
      <c r="F40" s="489"/>
      <c r="G40"/>
      <c r="H40" s="741"/>
      <c r="N40" s="1116"/>
    </row>
    <row r="41" spans="1:23" x14ac:dyDescent="0.25">
      <c r="A41" s="741"/>
      <c r="B41" s="302"/>
      <c r="C41" s="362" t="s">
        <v>413</v>
      </c>
      <c r="D41" s="14">
        <f>'2010ER'!AB4</f>
        <v>3750.9003016633078</v>
      </c>
      <c r="E41" s="14">
        <f>'2020ER'!AB4</f>
        <v>3291.8135998721814</v>
      </c>
      <c r="F41" s="14">
        <f t="shared" ref="F41:F55" si="5">TREND(D41:E41,$D$6:$E$6,$F$6)</f>
        <v>3613.1742911259789</v>
      </c>
      <c r="G41"/>
      <c r="H41" s="741"/>
    </row>
    <row r="42" spans="1:23" x14ac:dyDescent="0.25">
      <c r="A42" s="741"/>
      <c r="B42" s="302"/>
      <c r="C42" s="362" t="s">
        <v>417</v>
      </c>
      <c r="D42" s="14">
        <f>'2010ER'!AB5</f>
        <v>2.9522376685274958</v>
      </c>
      <c r="E42" s="14">
        <f>'2020ER'!AB5</f>
        <v>0.93910805035104805</v>
      </c>
      <c r="F42" s="14">
        <f t="shared" si="5"/>
        <v>2.3482987830745969</v>
      </c>
      <c r="G42"/>
      <c r="H42" s="741"/>
    </row>
    <row r="43" spans="1:23" x14ac:dyDescent="0.25">
      <c r="A43" s="741"/>
      <c r="B43" s="302"/>
      <c r="C43" s="362" t="s">
        <v>416</v>
      </c>
      <c r="D43" s="14">
        <f>'2010ER'!AB6</f>
        <v>0.19839204428158921</v>
      </c>
      <c r="E43" s="14">
        <f>'2020ER'!AB6</f>
        <v>8.6560978266842434E-2</v>
      </c>
      <c r="F43" s="14">
        <f t="shared" si="5"/>
        <v>0.16484272447716108</v>
      </c>
      <c r="G43" s="71"/>
      <c r="H43" s="741"/>
    </row>
    <row r="44" spans="1:23" x14ac:dyDescent="0.25">
      <c r="A44" s="741"/>
      <c r="B44" s="302"/>
      <c r="C44" s="362" t="s">
        <v>415</v>
      </c>
      <c r="D44" s="14">
        <f>'2010ER'!AB7</f>
        <v>5.755505625407392</v>
      </c>
      <c r="E44" s="14">
        <f>'2020ER'!AB7</f>
        <v>2.5860206751293329</v>
      </c>
      <c r="F44" s="14">
        <f t="shared" si="5"/>
        <v>4.8046601403239038</v>
      </c>
      <c r="G44" s="71"/>
      <c r="H44" s="741"/>
      <c r="L44" s="1118"/>
      <c r="M44" s="1119"/>
      <c r="O44" s="1118"/>
      <c r="P44" s="1119"/>
    </row>
    <row r="45" spans="1:23" s="492" customFormat="1" x14ac:dyDescent="0.25">
      <c r="A45" s="741"/>
      <c r="B45" s="302"/>
      <c r="C45" s="362" t="s">
        <v>414</v>
      </c>
      <c r="D45" s="14">
        <f>'2010ER'!AB8</f>
        <v>2.7543105969503339</v>
      </c>
      <c r="E45" s="14">
        <f>'2020ER'!AB8</f>
        <v>0.61583922156998427</v>
      </c>
      <c r="F45" s="14">
        <f t="shared" si="5"/>
        <v>2.1127691843361731</v>
      </c>
      <c r="G45" s="71"/>
      <c r="H45" s="741"/>
      <c r="I45" s="923"/>
      <c r="J45" s="923"/>
      <c r="K45" s="1120"/>
      <c r="L45" s="1118"/>
      <c r="M45" s="1119"/>
      <c r="N45" s="744"/>
      <c r="O45" s="1118"/>
      <c r="P45" s="1119"/>
      <c r="Q45" s="923"/>
      <c r="R45" s="923"/>
      <c r="S45" s="923"/>
      <c r="T45" s="923"/>
      <c r="U45" s="923"/>
      <c r="V45" s="923"/>
      <c r="W45" s="923"/>
    </row>
    <row r="46" spans="1:23" x14ac:dyDescent="0.25">
      <c r="A46" s="741"/>
      <c r="B46" s="302"/>
      <c r="C46" s="363" t="s">
        <v>618</v>
      </c>
      <c r="D46" s="207">
        <f>'2010ER'!I11</f>
        <v>399.0632574243163</v>
      </c>
      <c r="E46" s="207">
        <f>'2020ER'!I11</f>
        <v>341.41853931409429</v>
      </c>
      <c r="F46" s="201">
        <f t="shared" si="5"/>
        <v>381.76984199125036</v>
      </c>
      <c r="G46" s="244"/>
      <c r="H46" s="741"/>
      <c r="L46" s="1118"/>
      <c r="M46" s="1119"/>
      <c r="N46" s="923"/>
      <c r="O46" s="1118"/>
      <c r="P46" s="1119"/>
    </row>
    <row r="47" spans="1:23" x14ac:dyDescent="0.25">
      <c r="A47" s="741"/>
      <c r="B47" s="71"/>
      <c r="C47" s="363" t="s">
        <v>622</v>
      </c>
      <c r="D47" s="207">
        <f>'2010ER'!I27</f>
        <v>0.66317418612440482</v>
      </c>
      <c r="E47" s="207">
        <f>'2020ER'!I27</f>
        <v>0.21441608708446888</v>
      </c>
      <c r="F47" s="201">
        <f t="shared" si="5"/>
        <v>0.52854675641242466</v>
      </c>
      <c r="G47" s="244"/>
      <c r="H47" s="741"/>
      <c r="L47" s="1118"/>
      <c r="M47" s="1121"/>
      <c r="O47" s="1118"/>
      <c r="P47" s="1121"/>
    </row>
    <row r="48" spans="1:23" x14ac:dyDescent="0.25">
      <c r="A48" s="741"/>
      <c r="B48" s="302"/>
      <c r="C48" s="363" t="s">
        <v>621</v>
      </c>
      <c r="D48" s="207">
        <f>'2010ER'!I43</f>
        <v>1.9379311111124203E-2</v>
      </c>
      <c r="E48" s="207">
        <f>'2020ER'!I43</f>
        <v>1.310035453112551E-2</v>
      </c>
      <c r="F48" s="201">
        <f t="shared" si="5"/>
        <v>1.7495624137124688E-2</v>
      </c>
      <c r="G48" s="244"/>
      <c r="H48" s="741"/>
    </row>
    <row r="49" spans="1:8" x14ac:dyDescent="0.25">
      <c r="A49" s="741"/>
      <c r="B49" s="302"/>
      <c r="C49" s="363" t="s">
        <v>620</v>
      </c>
      <c r="D49" s="207">
        <f>'2010ER'!I59</f>
        <v>0.63634670338630683</v>
      </c>
      <c r="E49" s="207">
        <f>'2020ER'!I59</f>
        <v>0.2086373836848078</v>
      </c>
      <c r="F49" s="201">
        <f t="shared" si="5"/>
        <v>0.50803390747584842</v>
      </c>
      <c r="G49" s="244"/>
      <c r="H49" s="741"/>
    </row>
    <row r="50" spans="1:8" x14ac:dyDescent="0.25">
      <c r="A50" s="741"/>
      <c r="B50" s="302"/>
      <c r="C50" s="363" t="s">
        <v>619</v>
      </c>
      <c r="D50" s="207">
        <f>'2010ER'!I75</f>
        <v>0.24536793067196902</v>
      </c>
      <c r="E50" s="207">
        <f>'2020ER'!I75</f>
        <v>7.8435627739216918E-2</v>
      </c>
      <c r="F50" s="201">
        <f t="shared" si="5"/>
        <v>0.19528823979214138</v>
      </c>
      <c r="G50" s="244"/>
      <c r="H50" s="741"/>
    </row>
    <row r="51" spans="1:8" x14ac:dyDescent="0.25">
      <c r="A51" s="741"/>
      <c r="B51" s="302"/>
      <c r="C51" s="775" t="s">
        <v>418</v>
      </c>
      <c r="D51" s="207">
        <f>'2010ER'!AL4</f>
        <v>7722.351052989884</v>
      </c>
      <c r="E51" s="207">
        <f>'2020ER'!AL4</f>
        <v>7715.1016680449866</v>
      </c>
      <c r="F51" s="14">
        <f t="shared" si="5"/>
        <v>7720.1762375064154</v>
      </c>
      <c r="G51" s="71"/>
      <c r="H51" s="741"/>
    </row>
    <row r="52" spans="1:8" x14ac:dyDescent="0.25">
      <c r="A52" s="741"/>
      <c r="B52" s="302"/>
      <c r="C52" s="775" t="s">
        <v>422</v>
      </c>
      <c r="D52" s="207">
        <f>'2010ER'!AL5</f>
        <v>71.266992895654184</v>
      </c>
      <c r="E52" s="207">
        <f>'2020ER'!AL5</f>
        <v>28.755957883996196</v>
      </c>
      <c r="F52" s="14">
        <f t="shared" si="5"/>
        <v>58.513682392158444</v>
      </c>
      <c r="G52" s="71"/>
      <c r="H52" s="741"/>
    </row>
    <row r="53" spans="1:8" x14ac:dyDescent="0.25">
      <c r="A53" s="741"/>
      <c r="B53" s="302"/>
      <c r="C53" s="775" t="s">
        <v>421</v>
      </c>
      <c r="D53" s="207">
        <f>'2010ER'!AL6</f>
        <v>4.0096486656834633</v>
      </c>
      <c r="E53" s="207">
        <f>'2020ER'!AL6</f>
        <v>1.7179219731119526</v>
      </c>
      <c r="F53" s="14">
        <f t="shared" si="5"/>
        <v>3.3221306579120551</v>
      </c>
      <c r="G53" s="71"/>
      <c r="H53" s="741"/>
    </row>
    <row r="54" spans="1:8" x14ac:dyDescent="0.25">
      <c r="A54" s="741"/>
      <c r="B54" s="302"/>
      <c r="C54" s="775" t="s">
        <v>420</v>
      </c>
      <c r="D54" s="207">
        <f>'2010ER'!AL7</f>
        <v>62.401660342818353</v>
      </c>
      <c r="E54" s="207">
        <f>'2020ER'!AL7</f>
        <v>26.2668373090216</v>
      </c>
      <c r="F54" s="14">
        <f t="shared" si="5"/>
        <v>51.561213432678414</v>
      </c>
      <c r="G54" s="71"/>
      <c r="H54" s="741"/>
    </row>
    <row r="55" spans="1:8" x14ac:dyDescent="0.25">
      <c r="A55" s="741"/>
      <c r="B55" s="302"/>
      <c r="C55" s="775" t="s">
        <v>419</v>
      </c>
      <c r="D55" s="207">
        <f>'2010ER'!AL8</f>
        <v>12.077454219452086</v>
      </c>
      <c r="E55" s="207">
        <f>'2020ER'!AL8</f>
        <v>4.984839851937636</v>
      </c>
      <c r="F55" s="14">
        <f t="shared" si="5"/>
        <v>9.9496699091978371</v>
      </c>
      <c r="G55" s="71"/>
      <c r="H55" s="741"/>
    </row>
    <row r="56" spans="1:8" x14ac:dyDescent="0.25">
      <c r="A56" s="741"/>
      <c r="B56" s="302"/>
      <c r="C56" s="745" t="s">
        <v>606</v>
      </c>
      <c r="D56" s="489"/>
      <c r="E56" s="489"/>
      <c r="F56" s="489"/>
      <c r="G56" s="71"/>
      <c r="H56" s="741"/>
    </row>
    <row r="57" spans="1:8" x14ac:dyDescent="0.25">
      <c r="A57" s="741"/>
      <c r="B57" s="302"/>
      <c r="C57" s="362" t="s">
        <v>637</v>
      </c>
      <c r="D57" s="201">
        <f>'2010ER'!AG4</f>
        <v>7862.8647235697999</v>
      </c>
      <c r="E57" s="201">
        <f>'2020ER'!AG4</f>
        <v>7851.7739058984798</v>
      </c>
      <c r="F57" s="14">
        <f>TREND(D57:E57,$D$6:$E$6,$F$6)</f>
        <v>7859.5374782684048</v>
      </c>
      <c r="G57"/>
      <c r="H57" s="741"/>
    </row>
    <row r="58" spans="1:8" x14ac:dyDescent="0.25">
      <c r="A58" s="741"/>
      <c r="B58" s="302"/>
      <c r="C58" s="362" t="s">
        <v>638</v>
      </c>
      <c r="D58" s="201">
        <f>'2010ER'!AG5</f>
        <v>91.254935370362205</v>
      </c>
      <c r="E58" s="201">
        <f>'2020ER'!AG5</f>
        <v>26.680500420786341</v>
      </c>
      <c r="F58" s="14">
        <f>TREND(D58:E58,$D$6:$E$6,$F$6)</f>
        <v>71.882604885488036</v>
      </c>
      <c r="G58"/>
      <c r="H58" s="741"/>
    </row>
    <row r="59" spans="1:8" x14ac:dyDescent="0.25">
      <c r="A59" s="741"/>
      <c r="B59" s="302"/>
      <c r="C59" s="362" t="s">
        <v>639</v>
      </c>
      <c r="D59" s="201">
        <f>'2010ER'!AG6</f>
        <v>5.3206458541232546</v>
      </c>
      <c r="E59" s="201">
        <f>'2020ER'!AG6</f>
        <v>1.515481749244397</v>
      </c>
      <c r="F59" s="14">
        <f>TREND(D59:E59,$D$6:$E$6,$F$6)</f>
        <v>4.1790966226595856</v>
      </c>
      <c r="G59"/>
      <c r="H59" s="741"/>
    </row>
    <row r="60" spans="1:8" x14ac:dyDescent="0.25">
      <c r="A60" s="741"/>
      <c r="B60" s="302"/>
      <c r="C60" s="362" t="s">
        <v>640</v>
      </c>
      <c r="D60" s="201">
        <f>'2010ER'!AG7</f>
        <v>79.997397203791806</v>
      </c>
      <c r="E60" s="201">
        <f>'2020ER'!AG7</f>
        <v>24.379550594982216</v>
      </c>
      <c r="F60" s="14">
        <f>TREND(D60:E60,$D$6:$E$6,$F$6)</f>
        <v>63.312043221148997</v>
      </c>
      <c r="G60"/>
      <c r="H60" s="741"/>
    </row>
    <row r="61" spans="1:8" x14ac:dyDescent="0.25">
      <c r="A61" s="741"/>
      <c r="B61" s="302"/>
      <c r="C61" s="362" t="s">
        <v>641</v>
      </c>
      <c r="D61" s="201">
        <f>'2010ER'!AG8</f>
        <v>12.7289773811126</v>
      </c>
      <c r="E61" s="201">
        <f>'2020ER'!AG8</f>
        <v>3.4492574845856425</v>
      </c>
      <c r="F61" s="14">
        <f>TREND(D61:E61,$D$6:$E$6,$F$6)</f>
        <v>9.9450614121547005</v>
      </c>
      <c r="G61" s="202"/>
      <c r="H61" s="741"/>
    </row>
    <row r="62" spans="1:8" x14ac:dyDescent="0.25">
      <c r="A62" s="741"/>
      <c r="B62" s="302"/>
      <c r="C62" s="771"/>
      <c r="D62" s="251"/>
      <c r="E62" s="251"/>
      <c r="F62" s="174"/>
      <c r="G62" s="261"/>
      <c r="H62" s="741"/>
    </row>
    <row r="63" spans="1:8" ht="15.75" x14ac:dyDescent="0.25">
      <c r="A63" s="741"/>
      <c r="B63" s="302"/>
      <c r="C63" s="1200" t="s">
        <v>700</v>
      </c>
      <c r="D63" s="1200"/>
      <c r="E63" s="1200"/>
      <c r="F63" s="1200"/>
      <c r="G63" s="189"/>
      <c r="H63" s="741"/>
    </row>
    <row r="64" spans="1:8" s="500" customFormat="1" x14ac:dyDescent="0.25">
      <c r="A64" s="741"/>
      <c r="B64" s="302"/>
      <c r="C64" s="635" t="s">
        <v>589</v>
      </c>
      <c r="D64" s="304"/>
      <c r="E64" s="304"/>
      <c r="F64" s="700" t="s">
        <v>710</v>
      </c>
      <c r="G64" s="189"/>
      <c r="H64" s="741"/>
    </row>
    <row r="65" spans="1:9" s="500" customFormat="1" x14ac:dyDescent="0.25">
      <c r="A65" s="741"/>
      <c r="B65" s="1001"/>
      <c r="C65" s="359" t="s">
        <v>843</v>
      </c>
      <c r="D65" s="304"/>
      <c r="E65" s="304"/>
      <c r="F65" s="1075">
        <f>(F13*F15+F14*F16)/(F13+F14)</f>
        <v>9.6428571428571433E-2</v>
      </c>
      <c r="G65" s="189"/>
      <c r="H65" s="741"/>
    </row>
    <row r="66" spans="1:9" s="500" customFormat="1" x14ac:dyDescent="0.25">
      <c r="A66" s="741"/>
      <c r="B66" s="302"/>
      <c r="C66" s="359" t="s">
        <v>77</v>
      </c>
      <c r="D66" s="27">
        <f>INDEX(Capacity,MATCH(D9,INDEX(Capacity,,1),0),MATCH(D8,INDEX(Capacity,1,),0))*D10</f>
        <v>6600</v>
      </c>
      <c r="E66" s="27">
        <f>INDEX(Capacity,MATCH(E9,INDEX(Capacity,,1),0),MATCH(E8,INDEX(Capacity,1,),0))*E10</f>
        <v>6600</v>
      </c>
      <c r="F66" s="27">
        <f>INDEX(Capacity,MATCH(F9,INDEX(Capacity,,1),0),MATCH(F8,INDEX(Capacity,1,),0))*F10</f>
        <v>6600</v>
      </c>
      <c r="G66" s="189"/>
      <c r="H66" s="741"/>
    </row>
    <row r="67" spans="1:9" s="500" customFormat="1" x14ac:dyDescent="0.25">
      <c r="A67" s="741"/>
      <c r="B67" s="116"/>
      <c r="C67" s="359" t="s">
        <v>78</v>
      </c>
      <c r="D67" s="27">
        <f>INDEX(Capacity,MATCH(D11,INDEX(Capacity,,1),0),MATCH(D8,INDEX(Capacity,1,),0))*D12</f>
        <v>3000</v>
      </c>
      <c r="E67" s="27">
        <f>INDEX(Capacity,MATCH(E11,INDEX(Capacity,,1),0),MATCH(E8,INDEX(Capacity,1,),0))*E12</f>
        <v>3000</v>
      </c>
      <c r="F67" s="27">
        <f>INDEX(Capacity,MATCH(F11,INDEX(Capacity,,1),0),MATCH(F8,INDEX(Capacity,1,),0))*F12</f>
        <v>3000</v>
      </c>
      <c r="G67"/>
      <c r="H67" s="741"/>
    </row>
    <row r="68" spans="1:9" s="500" customFormat="1" x14ac:dyDescent="0.25">
      <c r="A68" s="741"/>
      <c r="B68" s="116"/>
      <c r="C68" s="348" t="s">
        <v>596</v>
      </c>
      <c r="D68" s="76">
        <f t="shared" ref="D68:F69" si="6">D13/D66</f>
        <v>0.68181818181818177</v>
      </c>
      <c r="E68" s="76">
        <f t="shared" si="6"/>
        <v>0.68181818181818177</v>
      </c>
      <c r="F68" s="76">
        <f t="shared" si="6"/>
        <v>0.68181818181818177</v>
      </c>
      <c r="G68" s="116"/>
      <c r="H68" s="741"/>
    </row>
    <row r="69" spans="1:9" s="500" customFormat="1" x14ac:dyDescent="0.25">
      <c r="A69" s="741"/>
      <c r="B69" s="116"/>
      <c r="C69" s="348" t="s">
        <v>597</v>
      </c>
      <c r="D69" s="76">
        <f t="shared" si="6"/>
        <v>0.83333333333333337</v>
      </c>
      <c r="E69" s="76">
        <f t="shared" si="6"/>
        <v>0.83333333333333337</v>
      </c>
      <c r="F69" s="76">
        <f t="shared" si="6"/>
        <v>0.83333333333333337</v>
      </c>
      <c r="G69" s="116"/>
      <c r="H69" s="741"/>
    </row>
    <row r="70" spans="1:9" x14ac:dyDescent="0.25">
      <c r="A70" s="741"/>
      <c r="B70" s="116"/>
      <c r="C70" s="635" t="s">
        <v>585</v>
      </c>
      <c r="D70" s="304"/>
      <c r="E70" s="304"/>
      <c r="F70" s="304"/>
      <c r="G70" s="237"/>
      <c r="H70" s="741"/>
    </row>
    <row r="71" spans="1:9" x14ac:dyDescent="0.25">
      <c r="A71" s="741"/>
      <c r="B71" s="116"/>
      <c r="C71" s="348" t="s">
        <v>583</v>
      </c>
      <c r="D71" s="27">
        <f>0.5*D17*(1-D34)^2/(1-(MIN(1,D68)*D34))</f>
        <v>18.96551724137931</v>
      </c>
      <c r="E71" s="27">
        <f>0.5*E17*(1-E34)^2/(1-(MIN(1,E68)*E34))</f>
        <v>18.96551724137931</v>
      </c>
      <c r="F71" s="27">
        <f>0.5*F17*(1-F34)^2/(1-(MIN(1,F68)*F34))</f>
        <v>18.96551724137931</v>
      </c>
      <c r="G71" s="237"/>
      <c r="H71" s="741"/>
    </row>
    <row r="72" spans="1:9" x14ac:dyDescent="0.25">
      <c r="A72" s="741"/>
      <c r="B72" s="116"/>
      <c r="C72" s="348" t="s">
        <v>579</v>
      </c>
      <c r="D72" s="27">
        <f>0.5*D17*(1-D34)^2/(1-(MIN(1,D69)*D34))</f>
        <v>21.428571428571431</v>
      </c>
      <c r="E72" s="27">
        <f>0.5*E17*(1-E34)^2/(1-(MIN(1,E69)*E34))</f>
        <v>21.428571428571431</v>
      </c>
      <c r="F72" s="27">
        <f>0.5*F17*(1-F34)^2/(1-(MIN(1,F69)*F34))</f>
        <v>21.428571428571431</v>
      </c>
      <c r="G72" s="237"/>
      <c r="H72" s="741"/>
    </row>
    <row r="73" spans="1:9" x14ac:dyDescent="0.25">
      <c r="A73" s="741"/>
      <c r="B73" s="302"/>
      <c r="C73" s="348" t="s">
        <v>584</v>
      </c>
      <c r="D73" s="27">
        <f>0.5*D17*(1-D35)^2/(1-(MIN(1,D68)*D34))</f>
        <v>12.13793103448276</v>
      </c>
      <c r="E73" s="27">
        <f>0.5*E17*(1-E35)^2/(1-(MIN(1,E68)*E34))</f>
        <v>12.13793103448276</v>
      </c>
      <c r="F73" s="27">
        <f>0.5*F17*(1-F35)^2/(1-(MIN(1,F68)*F34))</f>
        <v>12.13793103448276</v>
      </c>
      <c r="G73" s="237"/>
      <c r="H73" s="741"/>
    </row>
    <row r="74" spans="1:9" x14ac:dyDescent="0.25">
      <c r="A74" s="741"/>
      <c r="B74" s="302"/>
      <c r="C74" s="348" t="s">
        <v>581</v>
      </c>
      <c r="D74" s="27">
        <f>0.5*D17*(1-D36)^2/(1-(MIN(1,D69)*D34))</f>
        <v>30.857142857142861</v>
      </c>
      <c r="E74" s="27">
        <f>0.5*E17*(1-E36)^2/(1-(MIN(1,E69)*E34))</f>
        <v>30.857142857142861</v>
      </c>
      <c r="F74" s="27">
        <f>0.5*F17*(1-F36)^2/(1-(MIN(1,F69)*F34))</f>
        <v>30.857142857142861</v>
      </c>
      <c r="G74"/>
      <c r="H74" s="741"/>
    </row>
    <row r="75" spans="1:9" x14ac:dyDescent="0.25">
      <c r="A75" s="741"/>
      <c r="B75" s="302"/>
      <c r="C75" s="635" t="s">
        <v>586</v>
      </c>
      <c r="D75" s="304"/>
      <c r="E75" s="304"/>
      <c r="F75" s="304"/>
      <c r="G75" s="237"/>
      <c r="H75" s="741"/>
    </row>
    <row r="76" spans="1:9" x14ac:dyDescent="0.25">
      <c r="A76" s="741"/>
      <c r="B76" s="302"/>
      <c r="C76" s="348" t="s">
        <v>582</v>
      </c>
      <c r="D76" s="238">
        <f>(D17/(3600*24))/(((D19/2)*60)/(3600*D20))</f>
        <v>0.16666666666666666</v>
      </c>
      <c r="E76" s="238">
        <f>(E17/(3600*24))/(((E19/2)*60)/(3600*E20))</f>
        <v>0.16666666666666666</v>
      </c>
      <c r="F76" s="238">
        <f>(F17/(3600*24))/(((F19/2)*60)/(3600*F20))</f>
        <v>0.16666666666666666</v>
      </c>
      <c r="G76" s="261"/>
      <c r="H76" s="741"/>
    </row>
    <row r="77" spans="1:9" x14ac:dyDescent="0.25">
      <c r="A77" s="741"/>
      <c r="B77" s="302"/>
      <c r="C77" s="348" t="s">
        <v>603</v>
      </c>
      <c r="D77" s="235">
        <f>(((60/D19)*D22)*D71)/60</f>
        <v>6.3218390804597693</v>
      </c>
      <c r="E77" s="235">
        <f>(((60/E19)*E22)*E71)/60</f>
        <v>6.3218390804597693</v>
      </c>
      <c r="F77" s="235">
        <f>(((60/F19)*F22)*F71)/60</f>
        <v>6.3218390804597693</v>
      </c>
      <c r="G77"/>
      <c r="H77" s="741"/>
    </row>
    <row r="78" spans="1:9" x14ac:dyDescent="0.25">
      <c r="A78" s="741"/>
      <c r="B78" s="302"/>
      <c r="C78" s="348" t="s">
        <v>604</v>
      </c>
      <c r="D78" s="235">
        <f>(((60/D19)*D22)*D73)/60</f>
        <v>4.0459770114942533</v>
      </c>
      <c r="E78" s="235">
        <f>(((60/E19)*E22)*E73)/60</f>
        <v>4.0459770114942533</v>
      </c>
      <c r="F78" s="235">
        <f>(((60/F19)*F22)*F73)/60</f>
        <v>4.0459770114942533</v>
      </c>
      <c r="G78"/>
      <c r="H78" s="741"/>
    </row>
    <row r="79" spans="1:9" x14ac:dyDescent="0.25">
      <c r="A79" s="741"/>
      <c r="B79" s="302"/>
      <c r="C79" s="348" t="s">
        <v>587</v>
      </c>
      <c r="D79" s="234">
        <f>((D13*D71)+(D14*D72))/3600</f>
        <v>38.587848932676522</v>
      </c>
      <c r="E79" s="234">
        <f>((E13*E71)+(E14*E72))/3600</f>
        <v>38.587848932676522</v>
      </c>
      <c r="F79" s="234">
        <f>((F13*F71)+(F14*F72))/3600</f>
        <v>38.587848932676522</v>
      </c>
      <c r="G79"/>
      <c r="H79" s="741"/>
      <c r="I79" s="1122"/>
    </row>
    <row r="80" spans="1:9" x14ac:dyDescent="0.25">
      <c r="A80" s="741"/>
      <c r="B80" s="302"/>
      <c r="C80" s="348" t="s">
        <v>588</v>
      </c>
      <c r="D80" s="234">
        <f>(((((D13*D71)+(D14*D72)))*(1-D76))+((((D13*D73)+(D14*D74)))*(D76)))/3600</f>
        <v>38.256704980842912</v>
      </c>
      <c r="E80" s="234">
        <f>(((((E13*E71)+(E14*E72)))*(1-E76))+((((E13*E73)+(E14*E74)))*(E76)))/3600</f>
        <v>38.256704980842912</v>
      </c>
      <c r="F80" s="234">
        <f>(((((F13*F71)+(F14*F72)))*(1-F76))+((((F13*F73)+(F14*F74)))*(F76)))/3600</f>
        <v>38.256704980842912</v>
      </c>
      <c r="G80"/>
      <c r="H80" s="741"/>
      <c r="I80" s="1122"/>
    </row>
    <row r="81" spans="1:23" x14ac:dyDescent="0.25">
      <c r="A81" s="741"/>
      <c r="B81" s="302"/>
      <c r="C81" s="635" t="s">
        <v>590</v>
      </c>
      <c r="D81" s="304"/>
      <c r="E81" s="304"/>
      <c r="F81" s="304"/>
      <c r="G81"/>
      <c r="H81" s="741"/>
    </row>
    <row r="82" spans="1:23" x14ac:dyDescent="0.25">
      <c r="A82" s="741"/>
      <c r="B82" s="302"/>
      <c r="C82" s="359" t="s">
        <v>681</v>
      </c>
      <c r="D82" s="238">
        <f>((D23-(D77-D78))-D23)/D23</f>
        <v>-7.5862068965517199E-2</v>
      </c>
      <c r="E82" s="238">
        <f>((E23-(E77-E78))-E23)/E23</f>
        <v>-7.5862068965517199E-2</v>
      </c>
      <c r="F82" s="238">
        <f>((F23-(F77-F78))-F23)/F23</f>
        <v>-7.5862068965517199E-2</v>
      </c>
      <c r="G82" s="334"/>
      <c r="H82" s="741"/>
    </row>
    <row r="83" spans="1:23" x14ac:dyDescent="0.25">
      <c r="A83" s="741"/>
      <c r="B83" s="302"/>
      <c r="C83" s="359" t="s">
        <v>272</v>
      </c>
      <c r="D83" s="27">
        <f>D33*D21</f>
        <v>25000</v>
      </c>
      <c r="E83" s="27">
        <f>E33*E21</f>
        <v>25000</v>
      </c>
      <c r="F83" s="27">
        <f>F33*F21</f>
        <v>25000</v>
      </c>
      <c r="G83" s="335"/>
      <c r="H83" s="741"/>
    </row>
    <row r="84" spans="1:23" x14ac:dyDescent="0.25">
      <c r="A84" s="741"/>
      <c r="B84" s="302"/>
      <c r="C84" s="359" t="s">
        <v>591</v>
      </c>
      <c r="D84" s="232">
        <f>(1+D82*D37)*D83</f>
        <v>25758.62068965517</v>
      </c>
      <c r="E84" s="232">
        <f>(1+E82*E37)*E83</f>
        <v>25758.62068965517</v>
      </c>
      <c r="F84" s="232">
        <f>(1+F82*F37)*F83</f>
        <v>25758.62068965517</v>
      </c>
      <c r="G84"/>
      <c r="H84" s="741"/>
    </row>
    <row r="85" spans="1:23" x14ac:dyDescent="0.25">
      <c r="A85" s="741"/>
      <c r="B85" s="302"/>
      <c r="C85" s="29"/>
      <c r="D85" s="772"/>
      <c r="E85" s="772"/>
      <c r="F85" s="772"/>
      <c r="G85" s="302"/>
      <c r="H85" s="741"/>
    </row>
    <row r="86" spans="1:23" ht="15.75" x14ac:dyDescent="0.25">
      <c r="A86" s="741"/>
      <c r="B86" s="302"/>
      <c r="C86" s="1200" t="s">
        <v>767</v>
      </c>
      <c r="D86" s="1200"/>
      <c r="E86" s="1200"/>
      <c r="F86" s="1200"/>
      <c r="G86"/>
      <c r="H86" s="741"/>
    </row>
    <row r="87" spans="1:23" x14ac:dyDescent="0.25">
      <c r="A87" s="741"/>
      <c r="B87" s="302"/>
      <c r="C87" s="635" t="s">
        <v>652</v>
      </c>
      <c r="D87" s="635"/>
      <c r="E87" s="635"/>
      <c r="F87" s="700" t="s">
        <v>710</v>
      </c>
      <c r="G87"/>
      <c r="H87" s="741"/>
    </row>
    <row r="88" spans="1:23" x14ac:dyDescent="0.25">
      <c r="A88" s="741"/>
      <c r="B88" s="302"/>
      <c r="C88" s="359" t="s">
        <v>647</v>
      </c>
      <c r="D88" s="27">
        <f t="shared" ref="D88:E92" si="7">D$32*((D$79*(1-D$15)*D41)+(D$79*D$15*D51)+(D$79*(1-D$16)*D41)+(D$79*D$16*D51))</f>
        <v>3185957.993150224</v>
      </c>
      <c r="E88" s="27">
        <f t="shared" si="7"/>
        <v>2864781.9444726454</v>
      </c>
      <c r="F88" s="27">
        <f>F$32*((F$79*(1-$F$65)*F41)+(F$79*$F$65*F51))</f>
        <v>1547066.5945688088</v>
      </c>
      <c r="G88"/>
      <c r="H88" s="741"/>
    </row>
    <row r="89" spans="1:23" x14ac:dyDescent="0.25">
      <c r="A89" s="741"/>
      <c r="B89" s="302"/>
      <c r="C89" s="359" t="s">
        <v>648</v>
      </c>
      <c r="D89" s="27">
        <f t="shared" si="7"/>
        <v>7287.0369870264858</v>
      </c>
      <c r="E89" s="27">
        <f t="shared" si="7"/>
        <v>2764.2087499790614</v>
      </c>
      <c r="F89" s="27">
        <f t="shared" ref="F89:F92" si="8">F$32*((F$79*(1-$F$65)*F42)+(F$79*$F$65*F52))</f>
        <v>2996.0557056412472</v>
      </c>
      <c r="G89"/>
      <c r="H89" s="741"/>
    </row>
    <row r="90" spans="1:23" x14ac:dyDescent="0.25">
      <c r="A90" s="741"/>
      <c r="B90" s="302"/>
      <c r="C90" s="359" t="s">
        <v>649</v>
      </c>
      <c r="D90" s="27">
        <f t="shared" si="7"/>
        <v>432.5400147092621</v>
      </c>
      <c r="E90" s="27">
        <f t="shared" si="7"/>
        <v>186.41039114162581</v>
      </c>
      <c r="F90" s="27">
        <f t="shared" si="8"/>
        <v>181.09103453109083</v>
      </c>
      <c r="G90"/>
      <c r="H90" s="741"/>
    </row>
    <row r="91" spans="1:23" x14ac:dyDescent="0.25">
      <c r="A91" s="741"/>
      <c r="B91" s="302"/>
      <c r="C91" s="359" t="s">
        <v>650</v>
      </c>
      <c r="D91" s="27">
        <f t="shared" si="7"/>
        <v>8594.9728277075119</v>
      </c>
      <c r="E91" s="27">
        <f t="shared" si="7"/>
        <v>3731.9838752283686</v>
      </c>
      <c r="F91" s="27">
        <f t="shared" si="8"/>
        <v>3593.8128540540833</v>
      </c>
      <c r="G91"/>
      <c r="H91" s="741"/>
    </row>
    <row r="92" spans="1:23" x14ac:dyDescent="0.25">
      <c r="A92" s="741"/>
      <c r="B92" s="302"/>
      <c r="C92" s="359" t="s">
        <v>651</v>
      </c>
      <c r="D92" s="27">
        <f t="shared" si="7"/>
        <v>2809.2025341730055</v>
      </c>
      <c r="E92" s="27">
        <f t="shared" si="7"/>
        <v>795.59985596684442</v>
      </c>
      <c r="F92" s="27">
        <f t="shared" si="8"/>
        <v>1106.8809959451528</v>
      </c>
      <c r="G92"/>
      <c r="H92" s="741"/>
    </row>
    <row r="93" spans="1:23" x14ac:dyDescent="0.25">
      <c r="A93" s="741"/>
      <c r="B93" s="302"/>
      <c r="C93" s="359" t="s">
        <v>642</v>
      </c>
      <c r="D93" s="27">
        <f t="shared" ref="D93:E97" si="9">D$32*((D$80*(1-D$15)*D41)+(D$80*D$15*D51)+(D$80*(1-D$16)*D41)+(D$80*D$16*D51))</f>
        <v>3158617.5025707074</v>
      </c>
      <c r="E93" s="27">
        <f t="shared" si="9"/>
        <v>2840197.6455165325</v>
      </c>
      <c r="F93" s="27">
        <f>F$32*((F$80*(1-$F$65)*F41)+(F$80*$F$65*F51))</f>
        <v>1533790.3493246369</v>
      </c>
      <c r="G93"/>
      <c r="H93" s="741"/>
    </row>
    <row r="94" spans="1:23" x14ac:dyDescent="0.25">
      <c r="A94" s="741"/>
      <c r="B94" s="302"/>
      <c r="C94" s="359" t="s">
        <v>643</v>
      </c>
      <c r="D94" s="27">
        <f t="shared" si="9"/>
        <v>7224.5028398328532</v>
      </c>
      <c r="E94" s="27">
        <f t="shared" si="9"/>
        <v>2740.4875259544183</v>
      </c>
      <c r="F94" s="27">
        <f t="shared" ref="F94:F97" si="10">F$32*((F$80*(1-$F$65)*F42)+(F$80*$F$65*F52))</f>
        <v>2970.3448729899997</v>
      </c>
      <c r="G94"/>
      <c r="H94" s="741"/>
    </row>
    <row r="95" spans="1:23" s="501" customFormat="1" x14ac:dyDescent="0.25">
      <c r="A95" s="741"/>
      <c r="B95" s="302"/>
      <c r="C95" s="359" t="s">
        <v>644</v>
      </c>
      <c r="D95" s="27">
        <f t="shared" si="9"/>
        <v>428.82814649792726</v>
      </c>
      <c r="E95" s="27">
        <f t="shared" si="9"/>
        <v>184.81069913253808</v>
      </c>
      <c r="F95" s="27">
        <f t="shared" si="10"/>
        <v>179.5369909014268</v>
      </c>
      <c r="G95"/>
      <c r="H95" s="741"/>
      <c r="I95" s="744"/>
      <c r="J95" s="744"/>
      <c r="K95" s="744"/>
      <c r="L95" s="744"/>
      <c r="M95" s="744"/>
      <c r="N95" s="744"/>
      <c r="O95" s="744"/>
      <c r="P95" s="744"/>
      <c r="Q95" s="744"/>
      <c r="R95" s="744"/>
      <c r="S95" s="744"/>
      <c r="T95" s="744"/>
      <c r="U95" s="744"/>
      <c r="V95" s="744"/>
      <c r="W95" s="1123"/>
    </row>
    <row r="96" spans="1:23" s="501" customFormat="1" x14ac:dyDescent="0.25">
      <c r="A96" s="741"/>
      <c r="B96" s="302"/>
      <c r="C96" s="359" t="s">
        <v>645</v>
      </c>
      <c r="D96" s="27">
        <f t="shared" si="9"/>
        <v>8521.2145502498788</v>
      </c>
      <c r="E96" s="27">
        <f t="shared" si="9"/>
        <v>3699.9576306253443</v>
      </c>
      <c r="F96" s="27">
        <f t="shared" si="10"/>
        <v>3562.9723323987255</v>
      </c>
      <c r="G96"/>
      <c r="H96" s="741"/>
      <c r="I96" s="744"/>
      <c r="J96" s="744"/>
      <c r="K96" s="744"/>
      <c r="L96" s="744"/>
      <c r="M96" s="744"/>
      <c r="N96" s="744"/>
      <c r="O96" s="744"/>
      <c r="P96" s="744"/>
      <c r="Q96" s="744"/>
      <c r="R96" s="744"/>
      <c r="S96" s="744"/>
      <c r="T96" s="744"/>
      <c r="U96" s="744"/>
      <c r="V96" s="744"/>
      <c r="W96" s="1123"/>
    </row>
    <row r="97" spans="1:24" s="501" customFormat="1" x14ac:dyDescent="0.25">
      <c r="A97" s="741"/>
      <c r="B97" s="302"/>
      <c r="C97" s="359" t="s">
        <v>646</v>
      </c>
      <c r="D97" s="27">
        <f t="shared" si="9"/>
        <v>2785.0951932769108</v>
      </c>
      <c r="E97" s="27">
        <f t="shared" si="9"/>
        <v>788.77236784117144</v>
      </c>
      <c r="F97" s="27">
        <f t="shared" si="10"/>
        <v>1097.3822299515809</v>
      </c>
      <c r="G97"/>
      <c r="H97" s="741"/>
      <c r="I97" s="744"/>
      <c r="J97" s="744"/>
      <c r="K97" s="744"/>
      <c r="L97" s="744"/>
      <c r="M97" s="744"/>
      <c r="N97" s="744"/>
      <c r="O97" s="744"/>
      <c r="P97" s="744"/>
      <c r="Q97" s="744"/>
      <c r="R97" s="744"/>
      <c r="S97" s="744"/>
      <c r="T97" s="744"/>
      <c r="U97" s="744"/>
      <c r="V97" s="744"/>
      <c r="W97" s="744"/>
      <c r="X97" s="294"/>
    </row>
    <row r="98" spans="1:24" s="501" customFormat="1" x14ac:dyDescent="0.25">
      <c r="A98" s="741"/>
      <c r="B98" s="302"/>
      <c r="C98" s="635" t="s">
        <v>592</v>
      </c>
      <c r="D98" s="635"/>
      <c r="E98" s="635"/>
      <c r="F98" s="635"/>
      <c r="G98"/>
      <c r="H98" s="741"/>
      <c r="I98" s="744"/>
      <c r="J98" s="744"/>
      <c r="K98" s="744"/>
      <c r="L98" s="744"/>
      <c r="M98" s="744"/>
      <c r="N98" s="744"/>
      <c r="O98" s="744"/>
      <c r="P98" s="744"/>
      <c r="Q98" s="744"/>
      <c r="R98" s="744"/>
      <c r="S98" s="744"/>
      <c r="T98" s="744"/>
      <c r="U98" s="744"/>
      <c r="V98" s="744"/>
      <c r="W98" s="744"/>
      <c r="X98" s="294"/>
    </row>
    <row r="99" spans="1:24" s="501" customFormat="1" x14ac:dyDescent="0.25">
      <c r="A99" s="741"/>
      <c r="B99" s="47"/>
      <c r="C99" s="359" t="s">
        <v>387</v>
      </c>
      <c r="D99" s="27">
        <f t="shared" ref="D99:F103" si="11">D$38*(D$77/60)*D57*D$22</f>
        <v>596493.18592598476</v>
      </c>
      <c r="E99" s="27">
        <f t="shared" si="11"/>
        <v>595651.81355091906</v>
      </c>
      <c r="F99" s="27">
        <f>F$38*(F$77/60)*F57*F$22</f>
        <v>596240.77421346516</v>
      </c>
      <c r="G99"/>
      <c r="H99" s="741"/>
      <c r="I99" s="744"/>
      <c r="J99" s="744"/>
      <c r="K99" s="744"/>
      <c r="L99" s="744"/>
      <c r="M99" s="744"/>
      <c r="N99" s="744"/>
      <c r="O99" s="744"/>
      <c r="P99" s="744"/>
      <c r="Q99" s="744"/>
      <c r="R99" s="744"/>
      <c r="S99" s="744"/>
      <c r="T99" s="744"/>
      <c r="U99" s="744"/>
      <c r="V99" s="744"/>
      <c r="W99" s="744"/>
      <c r="X99" s="294"/>
    </row>
    <row r="100" spans="1:24" s="501" customFormat="1" x14ac:dyDescent="0.25">
      <c r="A100" s="741"/>
      <c r="B100" s="47"/>
      <c r="C100" s="359" t="s">
        <v>633</v>
      </c>
      <c r="D100" s="27">
        <f t="shared" si="11"/>
        <v>6922.7882005102356</v>
      </c>
      <c r="E100" s="27">
        <f t="shared" si="11"/>
        <v>2024.0379629562051</v>
      </c>
      <c r="F100" s="27">
        <f t="shared" si="11"/>
        <v>5453.1631292439197</v>
      </c>
      <c r="G100"/>
      <c r="H100" s="741"/>
      <c r="I100" s="744"/>
      <c r="J100" s="744"/>
      <c r="K100" s="744"/>
      <c r="L100" s="744"/>
      <c r="M100" s="744"/>
      <c r="N100" s="744"/>
      <c r="O100" s="744"/>
      <c r="P100" s="744"/>
      <c r="Q100" s="744"/>
      <c r="R100" s="744"/>
      <c r="S100" s="744"/>
      <c r="T100" s="744"/>
      <c r="U100" s="744"/>
      <c r="V100" s="744"/>
      <c r="W100" s="744"/>
      <c r="X100" s="294"/>
    </row>
    <row r="101" spans="1:24" s="501" customFormat="1" x14ac:dyDescent="0.25">
      <c r="A101" s="741"/>
      <c r="B101" s="47"/>
      <c r="C101" s="359" t="s">
        <v>389</v>
      </c>
      <c r="D101" s="27">
        <f t="shared" si="11"/>
        <v>403.63520272659167</v>
      </c>
      <c r="E101" s="27">
        <f t="shared" si="11"/>
        <v>114.96758097716113</v>
      </c>
      <c r="F101" s="27">
        <f t="shared" si="11"/>
        <v>317.03491620176163</v>
      </c>
      <c r="G101"/>
      <c r="H101" s="741"/>
      <c r="I101" s="744"/>
      <c r="J101" s="744"/>
      <c r="K101" s="744"/>
      <c r="L101" s="744"/>
      <c r="M101" s="744"/>
      <c r="N101" s="744"/>
      <c r="O101" s="744"/>
      <c r="P101" s="744"/>
      <c r="Q101" s="744"/>
      <c r="R101" s="744"/>
      <c r="S101" s="744"/>
      <c r="T101" s="744"/>
      <c r="U101" s="744"/>
      <c r="V101" s="744"/>
      <c r="W101" s="744"/>
      <c r="X101" s="294"/>
    </row>
    <row r="102" spans="1:24" s="501" customFormat="1" x14ac:dyDescent="0.25">
      <c r="A102" s="741"/>
      <c r="B102" s="47"/>
      <c r="C102" s="359" t="s">
        <v>634</v>
      </c>
      <c r="D102" s="27">
        <f t="shared" si="11"/>
        <v>6068.768063735929</v>
      </c>
      <c r="E102" s="27">
        <f t="shared" si="11"/>
        <v>1849.4831485848576</v>
      </c>
      <c r="F102" s="27">
        <f t="shared" si="11"/>
        <v>4802.982589190613</v>
      </c>
      <c r="G102"/>
      <c r="H102" s="741"/>
      <c r="I102" s="744"/>
      <c r="J102" s="744"/>
      <c r="K102" s="744"/>
      <c r="L102" s="744"/>
      <c r="M102" s="744"/>
      <c r="N102" s="744"/>
      <c r="O102" s="744"/>
      <c r="P102" s="744"/>
      <c r="Q102" s="744"/>
      <c r="R102" s="744"/>
      <c r="S102" s="744"/>
      <c r="T102" s="744"/>
      <c r="U102" s="744"/>
      <c r="V102" s="744"/>
      <c r="W102" s="744"/>
      <c r="X102" s="294"/>
    </row>
    <row r="103" spans="1:24" s="501" customFormat="1" x14ac:dyDescent="0.25">
      <c r="A103" s="741"/>
      <c r="B103" s="47"/>
      <c r="C103" s="359" t="s">
        <v>388</v>
      </c>
      <c r="D103" s="27">
        <f t="shared" si="11"/>
        <v>965.64655994647296</v>
      </c>
      <c r="E103" s="27">
        <f t="shared" si="11"/>
        <v>261.66780917546254</v>
      </c>
      <c r="F103" s="27">
        <f t="shared" si="11"/>
        <v>754.45293471518414</v>
      </c>
      <c r="G103"/>
      <c r="H103" s="741"/>
      <c r="I103" s="744"/>
      <c r="J103" s="744"/>
      <c r="K103" s="744"/>
      <c r="L103" s="744"/>
      <c r="M103" s="744"/>
      <c r="N103" s="744"/>
      <c r="O103" s="744"/>
      <c r="P103" s="744"/>
      <c r="Q103" s="744"/>
      <c r="R103" s="744"/>
      <c r="S103" s="744"/>
      <c r="T103" s="744"/>
      <c r="U103" s="744"/>
      <c r="V103" s="744"/>
      <c r="W103" s="744"/>
      <c r="X103" s="294"/>
    </row>
    <row r="104" spans="1:24" s="501" customFormat="1" x14ac:dyDescent="0.25">
      <c r="A104" s="741"/>
      <c r="B104" s="47"/>
      <c r="C104" s="359" t="s">
        <v>390</v>
      </c>
      <c r="D104" s="27">
        <f t="shared" ref="D104:F108" si="12">D$38*(D$78/60)*D57*D$22</f>
        <v>381755.63899263035</v>
      </c>
      <c r="E104" s="27">
        <f t="shared" si="12"/>
        <v>381217.16067258839</v>
      </c>
      <c r="F104" s="27">
        <f t="shared" si="12"/>
        <v>381594.09549661784</v>
      </c>
      <c r="G104"/>
      <c r="H104" s="741"/>
      <c r="I104" s="744"/>
      <c r="J104" s="744"/>
      <c r="K104" s="744"/>
      <c r="L104" s="744"/>
      <c r="M104" s="744"/>
      <c r="N104" s="744"/>
      <c r="O104" s="744"/>
      <c r="P104" s="744"/>
      <c r="Q104" s="744"/>
      <c r="R104" s="744"/>
      <c r="S104" s="744"/>
      <c r="T104" s="744"/>
      <c r="U104" s="744"/>
      <c r="V104" s="744"/>
      <c r="W104" s="744"/>
      <c r="X104" s="294"/>
    </row>
    <row r="105" spans="1:24" s="501" customFormat="1" x14ac:dyDescent="0.25">
      <c r="A105" s="741"/>
      <c r="B105" s="47"/>
      <c r="C105" s="359" t="s">
        <v>635</v>
      </c>
      <c r="D105" s="27">
        <f t="shared" si="12"/>
        <v>4430.5844483265519</v>
      </c>
      <c r="E105" s="27">
        <f t="shared" si="12"/>
        <v>1295.3842962919716</v>
      </c>
      <c r="F105" s="27">
        <f t="shared" si="12"/>
        <v>3490.0244027161089</v>
      </c>
      <c r="G105"/>
      <c r="H105" s="741"/>
      <c r="I105" s="744"/>
      <c r="J105" s="744"/>
      <c r="K105" s="744"/>
      <c r="L105" s="744"/>
      <c r="M105" s="744"/>
      <c r="N105" s="744"/>
      <c r="O105" s="744"/>
      <c r="P105" s="744"/>
      <c r="Q105" s="744"/>
      <c r="R105" s="744"/>
      <c r="S105" s="744"/>
      <c r="T105" s="744"/>
      <c r="U105" s="744"/>
      <c r="V105" s="744"/>
      <c r="W105" s="744"/>
      <c r="X105" s="294"/>
    </row>
    <row r="106" spans="1:24" s="501" customFormat="1" x14ac:dyDescent="0.25">
      <c r="A106" s="741"/>
      <c r="B106" s="47"/>
      <c r="C106" s="359" t="s">
        <v>392</v>
      </c>
      <c r="D106" s="27">
        <f t="shared" si="12"/>
        <v>258.32652974501877</v>
      </c>
      <c r="E106" s="27">
        <f t="shared" si="12"/>
        <v>73.579251825383153</v>
      </c>
      <c r="F106" s="27">
        <f t="shared" si="12"/>
        <v>202.90234636912749</v>
      </c>
      <c r="G106"/>
      <c r="H106" s="741"/>
      <c r="I106" s="744"/>
      <c r="J106" s="744"/>
      <c r="K106" s="744"/>
      <c r="L106" s="744"/>
      <c r="M106" s="744"/>
      <c r="N106" s="744"/>
      <c r="O106" s="744"/>
      <c r="P106" s="744"/>
      <c r="Q106" s="744"/>
      <c r="R106" s="744"/>
      <c r="S106" s="744"/>
      <c r="T106" s="744"/>
      <c r="U106" s="744"/>
      <c r="V106" s="744"/>
      <c r="W106" s="744"/>
      <c r="X106" s="294"/>
    </row>
    <row r="107" spans="1:24" s="501" customFormat="1" x14ac:dyDescent="0.25">
      <c r="A107" s="741"/>
      <c r="B107" s="47"/>
      <c r="C107" s="359" t="s">
        <v>636</v>
      </c>
      <c r="D107" s="27">
        <f t="shared" si="12"/>
        <v>3884.0115607909956</v>
      </c>
      <c r="E107" s="27">
        <f t="shared" si="12"/>
        <v>1183.6692150943093</v>
      </c>
      <c r="F107" s="27">
        <f t="shared" si="12"/>
        <v>3073.9088570819931</v>
      </c>
      <c r="G107"/>
      <c r="H107" s="741"/>
      <c r="I107" s="744"/>
      <c r="J107" s="744"/>
      <c r="K107" s="744"/>
      <c r="L107" s="744"/>
      <c r="M107" s="744"/>
      <c r="N107" s="744"/>
      <c r="O107" s="744"/>
      <c r="P107" s="744"/>
      <c r="Q107" s="744"/>
      <c r="R107" s="744"/>
      <c r="S107" s="744"/>
      <c r="T107" s="744"/>
      <c r="U107" s="744"/>
      <c r="V107" s="744"/>
      <c r="W107" s="744"/>
      <c r="X107" s="294"/>
    </row>
    <row r="108" spans="1:24" s="501" customFormat="1" x14ac:dyDescent="0.25">
      <c r="A108" s="741"/>
      <c r="B108" s="47"/>
      <c r="C108" s="359" t="s">
        <v>391</v>
      </c>
      <c r="D108" s="27">
        <f t="shared" si="12"/>
        <v>618.01379836574279</v>
      </c>
      <c r="E108" s="27">
        <f t="shared" si="12"/>
        <v>167.46739787229603</v>
      </c>
      <c r="F108" s="27">
        <f t="shared" si="12"/>
        <v>482.8498782177179</v>
      </c>
      <c r="G108"/>
      <c r="H108" s="741"/>
      <c r="I108" s="744"/>
      <c r="J108" s="744"/>
      <c r="K108" s="744"/>
      <c r="L108" s="744"/>
      <c r="M108" s="744"/>
      <c r="N108" s="744"/>
      <c r="O108" s="744"/>
      <c r="P108" s="744"/>
      <c r="Q108" s="744"/>
      <c r="R108" s="744"/>
      <c r="S108" s="744"/>
      <c r="T108" s="744"/>
      <c r="U108" s="744"/>
      <c r="V108" s="744"/>
      <c r="W108" s="744"/>
      <c r="X108" s="294"/>
    </row>
    <row r="109" spans="1:24" s="501" customFormat="1" x14ac:dyDescent="0.25">
      <c r="A109" s="741"/>
      <c r="B109" s="47"/>
      <c r="C109" s="29"/>
      <c r="D109" s="58"/>
      <c r="E109" s="58"/>
      <c r="F109" s="58"/>
      <c r="G109" s="302"/>
      <c r="H109" s="741"/>
      <c r="I109" s="744"/>
      <c r="J109" s="744"/>
      <c r="K109" s="744"/>
      <c r="L109" s="744"/>
      <c r="M109" s="744"/>
      <c r="N109" s="744"/>
      <c r="O109" s="744"/>
      <c r="P109" s="744"/>
      <c r="Q109" s="744"/>
      <c r="R109" s="744"/>
      <c r="S109" s="744"/>
      <c r="T109" s="744"/>
      <c r="U109" s="744"/>
      <c r="V109" s="744"/>
      <c r="W109" s="744"/>
      <c r="X109" s="294"/>
    </row>
    <row r="110" spans="1:24" s="501" customFormat="1" ht="15.75" x14ac:dyDescent="0.25">
      <c r="A110" s="741"/>
      <c r="B110" s="47"/>
      <c r="C110" s="1197" t="s">
        <v>701</v>
      </c>
      <c r="D110" s="1197"/>
      <c r="E110" s="1197"/>
      <c r="F110" s="1197"/>
      <c r="G110" s="302"/>
      <c r="H110" s="741"/>
      <c r="I110" s="744"/>
      <c r="J110" s="744"/>
      <c r="K110" s="744"/>
      <c r="L110" s="744"/>
      <c r="M110" s="744"/>
      <c r="N110" s="744"/>
      <c r="O110" s="744"/>
      <c r="P110" s="744"/>
      <c r="Q110" s="744"/>
      <c r="R110" s="744"/>
      <c r="S110" s="744"/>
      <c r="T110" s="744"/>
      <c r="U110" s="744"/>
      <c r="V110" s="744"/>
      <c r="W110" s="744"/>
      <c r="X110" s="294"/>
    </row>
    <row r="111" spans="1:24" s="501" customFormat="1" ht="15.75" thickBot="1" x14ac:dyDescent="0.3">
      <c r="A111" s="741"/>
      <c r="B111" s="47"/>
      <c r="C111" s="742" t="s">
        <v>990</v>
      </c>
      <c r="D111" s="742"/>
      <c r="E111" s="742"/>
      <c r="F111" s="742"/>
      <c r="G111"/>
      <c r="H111" s="741"/>
      <c r="I111" s="1122"/>
      <c r="J111" s="744"/>
      <c r="K111" s="744"/>
      <c r="L111" s="1122"/>
      <c r="M111" s="744"/>
      <c r="N111" s="744"/>
      <c r="O111" s="744"/>
      <c r="P111" s="744"/>
      <c r="Q111" s="744"/>
      <c r="R111" s="744"/>
      <c r="S111" s="744"/>
      <c r="T111" s="744"/>
      <c r="U111" s="744"/>
      <c r="V111" s="744"/>
      <c r="W111" s="744"/>
      <c r="X111" s="294"/>
    </row>
    <row r="112" spans="1:24" s="501" customFormat="1" ht="15.75" thickBot="1" x14ac:dyDescent="0.3">
      <c r="A112" s="741"/>
      <c r="B112" s="770"/>
      <c r="C112" s="734" t="s">
        <v>609</v>
      </c>
      <c r="D112" s="199">
        <f>((D77-D78)/60)*D38*D33*D22</f>
        <v>6827.586206896548</v>
      </c>
      <c r="E112" s="199">
        <f>((E77-E78)/60)*E38*E33*E22</f>
        <v>6827.586206896548</v>
      </c>
      <c r="F112" s="935">
        <f>((F77-F78)/60)*F38*F33</f>
        <v>1365.5172413793096</v>
      </c>
      <c r="G112" s="4"/>
      <c r="H112" s="741"/>
      <c r="I112" s="1122"/>
      <c r="J112" s="744"/>
      <c r="K112" s="744"/>
      <c r="L112" s="1122"/>
      <c r="M112" s="744"/>
      <c r="N112" s="744"/>
      <c r="O112" s="744"/>
      <c r="P112" s="744"/>
      <c r="Q112" s="744"/>
      <c r="R112" s="744"/>
      <c r="S112" s="744"/>
      <c r="T112" s="744"/>
      <c r="U112" s="744"/>
      <c r="V112" s="744"/>
      <c r="W112" s="744"/>
      <c r="X112" s="294"/>
    </row>
    <row r="113" spans="1:24" s="501" customFormat="1" ht="15.75" thickBot="1" x14ac:dyDescent="0.3">
      <c r="A113" s="741"/>
      <c r="B113" s="770"/>
      <c r="C113" s="735" t="s">
        <v>991</v>
      </c>
      <c r="D113" s="199"/>
      <c r="E113" s="199"/>
      <c r="F113" s="1192">
        <f>(((F71*F13)*F32*F33)/3600)-(((((F71*F13)*F32*F33)/3600)*(1-F76))+((((F73*F13)*F32*F33)/3600)*(F76)))</f>
        <v>3556.0344827586159</v>
      </c>
      <c r="G113" s="4"/>
      <c r="H113" s="741"/>
      <c r="I113" s="1122"/>
      <c r="J113" s="744"/>
      <c r="K113" s="744"/>
      <c r="L113" s="1122"/>
      <c r="M113" s="744"/>
      <c r="N113" s="744"/>
      <c r="O113" s="744"/>
      <c r="P113" s="744"/>
      <c r="Q113" s="744"/>
      <c r="R113" s="744"/>
      <c r="S113" s="744"/>
      <c r="T113" s="744"/>
      <c r="U113" s="744"/>
      <c r="V113" s="744"/>
      <c r="W113" s="744"/>
      <c r="X113" s="294"/>
    </row>
    <row r="114" spans="1:24" s="501" customFormat="1" ht="15.75" thickBot="1" x14ac:dyDescent="0.3">
      <c r="A114" s="741"/>
      <c r="B114" s="770"/>
      <c r="C114" s="735" t="s">
        <v>992</v>
      </c>
      <c r="D114" s="199"/>
      <c r="E114" s="199"/>
      <c r="F114" s="1192">
        <f>(((F72*F14)*F32*F33)/3600)-(((((F72*F14)*F32*F33)/3600)*(1-F76))+((((F74*F14)*F32*F33)/3600)*(F76)))</f>
        <v>-2728.1746031746079</v>
      </c>
      <c r="G114" s="4"/>
      <c r="H114" s="741"/>
      <c r="I114" s="1122"/>
      <c r="J114" s="744"/>
      <c r="K114" s="744"/>
      <c r="L114" s="1122"/>
      <c r="M114" s="744"/>
      <c r="N114" s="744"/>
      <c r="O114" s="744"/>
      <c r="P114" s="744"/>
      <c r="Q114" s="744"/>
      <c r="R114" s="744"/>
      <c r="S114" s="744"/>
      <c r="T114" s="744"/>
      <c r="U114" s="744"/>
      <c r="V114" s="744"/>
      <c r="W114" s="744"/>
      <c r="X114" s="294"/>
    </row>
    <row r="115" spans="1:24" s="501" customFormat="1" ht="15.75" thickBot="1" x14ac:dyDescent="0.3">
      <c r="A115" s="741"/>
      <c r="B115" s="770"/>
      <c r="C115" s="735" t="s">
        <v>993</v>
      </c>
      <c r="D115" s="199"/>
      <c r="E115" s="199"/>
      <c r="F115" s="1192">
        <f>SUM(F112:F114)</f>
        <v>2193.3771209633178</v>
      </c>
      <c r="G115" s="4"/>
      <c r="H115" s="741"/>
      <c r="I115" s="744"/>
      <c r="J115" s="744"/>
      <c r="K115" s="744"/>
      <c r="L115" s="744"/>
      <c r="M115" s="744"/>
      <c r="N115" s="744"/>
      <c r="O115" s="744"/>
      <c r="P115" s="744"/>
      <c r="Q115" s="744"/>
      <c r="R115" s="744"/>
      <c r="S115" s="744"/>
      <c r="T115" s="744"/>
      <c r="U115" s="744"/>
      <c r="V115" s="744"/>
      <c r="W115" s="744"/>
      <c r="X115" s="294"/>
    </row>
    <row r="116" spans="1:24" ht="15.75" thickBot="1" x14ac:dyDescent="0.3">
      <c r="A116" s="741"/>
      <c r="B116" s="770"/>
      <c r="C116" s="736" t="s">
        <v>994</v>
      </c>
      <c r="D116" s="199">
        <f>((D$84-D$83)/D$31)*D$39</f>
        <v>10114.942528735604</v>
      </c>
      <c r="E116" s="199">
        <f>((E$84-E$83)/E$31)*E$39</f>
        <v>10114.942528735604</v>
      </c>
      <c r="F116" s="936">
        <f>((F$84-F$83)/F$31)*F$39</f>
        <v>10114.942528735604</v>
      </c>
      <c r="G116"/>
      <c r="H116" s="741"/>
    </row>
    <row r="117" spans="1:24" x14ac:dyDescent="0.25">
      <c r="A117" s="741"/>
      <c r="B117" s="47"/>
      <c r="C117" s="29"/>
      <c r="D117" s="58"/>
      <c r="E117" s="58"/>
      <c r="F117" s="58"/>
      <c r="G117"/>
      <c r="H117" s="741"/>
    </row>
    <row r="118" spans="1:24" ht="15.75" thickBot="1" x14ac:dyDescent="0.3">
      <c r="A118" s="741"/>
      <c r="B118" s="47"/>
      <c r="C118" s="742" t="s">
        <v>995</v>
      </c>
      <c r="D118" s="10"/>
      <c r="E118" s="10"/>
      <c r="F118" s="10"/>
      <c r="G118" s="1001"/>
      <c r="H118" s="741"/>
    </row>
    <row r="119" spans="1:24" x14ac:dyDescent="0.25">
      <c r="A119" s="741"/>
      <c r="B119" s="770"/>
      <c r="C119" s="723" t="s">
        <v>610</v>
      </c>
      <c r="D119" s="763">
        <f>(((D$76*D93)+((1-D$76)*D88))-D88)*D$22*D$33</f>
        <v>-5695935.5373989092</v>
      </c>
      <c r="E119" s="764">
        <f>(((E$76*E$93)+((1-E$76)*E$88))-E$88)*E$22*E$33</f>
        <v>-5121728.949190001</v>
      </c>
      <c r="F119" s="1194">
        <f>(F88-((F$76*F93)+((1-F$76)*F88)))*F$22*F$33</f>
        <v>2765884.4258691533</v>
      </c>
      <c r="G119" s="1001"/>
      <c r="H119" s="741"/>
      <c r="I119" s="1122"/>
    </row>
    <row r="120" spans="1:24" x14ac:dyDescent="0.25">
      <c r="A120" s="741"/>
      <c r="B120" s="770"/>
      <c r="C120" s="729" t="s">
        <v>623</v>
      </c>
      <c r="D120" s="765">
        <f>(((D$76*D94)+((1-D$76)*D89))-D89)*D$22*D$33</f>
        <v>-13027.947332006988</v>
      </c>
      <c r="E120" s="766">
        <f>(((E$76*E94)+((1-E$76)*E89))-E89)*E$22*E$33</f>
        <v>-4941.9216718001735</v>
      </c>
      <c r="F120" s="1195">
        <f t="shared" ref="F120:F123" si="13">(F89-((F$76*F94)+((1-F$76)*F89)))*F$22*F$33</f>
        <v>5356.4234690094281</v>
      </c>
      <c r="G120" s="1001"/>
      <c r="H120" s="741"/>
      <c r="I120" s="1122"/>
    </row>
    <row r="121" spans="1:24" x14ac:dyDescent="0.25">
      <c r="A121" s="741"/>
      <c r="B121" s="770"/>
      <c r="C121" s="729" t="s">
        <v>624</v>
      </c>
      <c r="D121" s="765">
        <f>(((D$76*D95)+((1-D$76)*D90))-D90)*D$22*D$33</f>
        <v>-773.3058773614232</v>
      </c>
      <c r="E121" s="766">
        <f>(((E$76*E95)+((1-E$76)*E90))-E90)*E$22*E$33</f>
        <v>-333.26916855994426</v>
      </c>
      <c r="F121" s="1195">
        <f t="shared" si="13"/>
        <v>323.75908951330246</v>
      </c>
      <c r="G121" s="1001"/>
      <c r="H121" s="741"/>
      <c r="I121" s="1122"/>
    </row>
    <row r="122" spans="1:24" x14ac:dyDescent="0.25">
      <c r="A122" s="741"/>
      <c r="B122" s="332"/>
      <c r="C122" s="729" t="s">
        <v>625</v>
      </c>
      <c r="D122" s="765">
        <f>(((D$76*D96)+((1-D$76)*D91))-D91)*D$22*D$33</f>
        <v>-15366.307803672044</v>
      </c>
      <c r="E122" s="766">
        <f>(((E$76*E96)+((1-E$76)*E91))-E91)*E$22*E$33</f>
        <v>-6672.1342922960503</v>
      </c>
      <c r="F122" s="1195">
        <f t="shared" si="13"/>
        <v>6425.1086781996491</v>
      </c>
      <c r="G122" s="1001"/>
      <c r="H122" s="741"/>
      <c r="I122" s="1122"/>
    </row>
    <row r="123" spans="1:24" ht="15.75" thickBot="1" x14ac:dyDescent="0.3">
      <c r="A123" s="741"/>
      <c r="B123" s="332"/>
      <c r="C123" s="660" t="s">
        <v>626</v>
      </c>
      <c r="D123" s="767">
        <f>(((D$76*D97)+((1-D$76)*D92))-D92)*D$22*D$33</f>
        <v>-5022.3626866863924</v>
      </c>
      <c r="E123" s="768">
        <f>(((E$76*E97)+((1-E$76)*E92))-E92)*E$22*E$33</f>
        <v>-1422.393359515155</v>
      </c>
      <c r="F123" s="1196">
        <f t="shared" si="13"/>
        <v>1978.9095819939462</v>
      </c>
      <c r="G123" s="1001"/>
      <c r="H123" s="741"/>
      <c r="I123" s="1122"/>
    </row>
    <row r="124" spans="1:24" x14ac:dyDescent="0.25">
      <c r="A124" s="741"/>
      <c r="B124" s="302"/>
      <c r="C124" s="522"/>
      <c r="D124" s="758"/>
      <c r="E124" s="758"/>
      <c r="F124" s="758"/>
      <c r="G124" s="302"/>
      <c r="H124" s="741"/>
    </row>
    <row r="125" spans="1:24" ht="15.75" thickBot="1" x14ac:dyDescent="0.3">
      <c r="A125" s="741"/>
      <c r="B125" s="302"/>
      <c r="C125" s="742" t="s">
        <v>724</v>
      </c>
      <c r="D125" s="58"/>
      <c r="E125" s="58"/>
      <c r="F125" s="58"/>
      <c r="G125"/>
      <c r="H125" s="741"/>
    </row>
    <row r="126" spans="1:24" x14ac:dyDescent="0.25">
      <c r="A126" s="741"/>
      <c r="B126" s="332"/>
      <c r="C126" s="734" t="s">
        <v>817</v>
      </c>
      <c r="D126" s="759">
        <f t="shared" ref="D126:E130" si="14">((((D99-D104)*D$33)+(D$116*D46)))-D119</f>
        <v>63416824.184914492</v>
      </c>
      <c r="E126" s="759">
        <f t="shared" si="14"/>
        <v>62183821.072179586</v>
      </c>
      <c r="F126" s="759">
        <f>((((F99-F104)*F$33)+(F$116*F46)))+F119</f>
        <v>60289134.116026953</v>
      </c>
      <c r="G126"/>
      <c r="H126" s="741"/>
      <c r="I126" s="1122"/>
    </row>
    <row r="127" spans="1:24" x14ac:dyDescent="0.25">
      <c r="A127" s="741"/>
      <c r="B127" s="332"/>
      <c r="C127" s="735" t="s">
        <v>818</v>
      </c>
      <c r="D127" s="761">
        <f t="shared" si="14"/>
        <v>642786.85415711731</v>
      </c>
      <c r="E127" s="762">
        <f t="shared" si="14"/>
        <v>189274.14473595429</v>
      </c>
      <c r="F127" s="762">
        <f>((((F100-F105)*F$33)+(F$116*F47)))+F120</f>
        <v>501487.32516582339</v>
      </c>
      <c r="G127"/>
      <c r="H127" s="741"/>
    </row>
    <row r="128" spans="1:24" x14ac:dyDescent="0.25">
      <c r="A128" s="741"/>
      <c r="B128" s="332"/>
      <c r="C128" s="735" t="s">
        <v>819</v>
      </c>
      <c r="D128" s="761">
        <f t="shared" si="14"/>
        <v>37296.494740890157</v>
      </c>
      <c r="E128" s="762">
        <f t="shared" si="14"/>
        <v>10812.860789692835</v>
      </c>
      <c r="F128" s="762">
        <f>((((F101-F106)*F$33)+(F$116*F48)))+F121</f>
        <v>29033.868780323217</v>
      </c>
      <c r="G128"/>
      <c r="H128" s="741"/>
    </row>
    <row r="129" spans="1:8" x14ac:dyDescent="0.25">
      <c r="A129" s="741"/>
      <c r="B129" s="332"/>
      <c r="C129" s="735" t="s">
        <v>820</v>
      </c>
      <c r="D129" s="761">
        <f t="shared" si="14"/>
        <v>567992.04387300822</v>
      </c>
      <c r="E129" s="762">
        <f t="shared" si="14"/>
        <v>175235.97281025074</v>
      </c>
      <c r="F129" s="762">
        <f>((((F102-F107)*F$33)+(F$116*F49)))+F122</f>
        <v>443832.27548212186</v>
      </c>
      <c r="G129"/>
      <c r="H129" s="741"/>
    </row>
    <row r="130" spans="1:8" ht="15.75" thickBot="1" x14ac:dyDescent="0.3">
      <c r="A130" s="741"/>
      <c r="B130" s="332"/>
      <c r="C130" s="736" t="s">
        <v>821</v>
      </c>
      <c r="D130" s="769">
        <f t="shared" si="14"/>
        <v>94412.435599010685</v>
      </c>
      <c r="E130" s="760">
        <f t="shared" si="14"/>
        <v>25765.868052094258</v>
      </c>
      <c r="F130" s="760">
        <f>((((F103-F108)*F$33)+(F$116*F50)))+F123</f>
        <v>71855.00302839595</v>
      </c>
      <c r="G130"/>
      <c r="H130" s="741"/>
    </row>
    <row r="131" spans="1:8" x14ac:dyDescent="0.25">
      <c r="A131" s="741"/>
      <c r="B131" s="332"/>
      <c r="C131" s="329" t="s">
        <v>974</v>
      </c>
      <c r="D131" s="707"/>
      <c r="E131" s="704"/>
      <c r="F131" s="716">
        <f>(F126*0.00000110231)/$F$33</f>
        <v>0.26582926170975069</v>
      </c>
      <c r="G131"/>
      <c r="H131" s="741"/>
    </row>
    <row r="132" spans="1:8" x14ac:dyDescent="0.25">
      <c r="A132" s="741"/>
      <c r="B132" s="332"/>
      <c r="C132" s="330" t="s">
        <v>975</v>
      </c>
      <c r="D132" s="708"/>
      <c r="E132" s="704"/>
      <c r="F132" s="691">
        <f t="shared" ref="F132:F134" si="15">(F127*0.00000110231)/$F$33</f>
        <v>2.2111779736141554E-3</v>
      </c>
      <c r="G132"/>
      <c r="H132" s="741"/>
    </row>
    <row r="133" spans="1:8" x14ac:dyDescent="0.25">
      <c r="A133" s="741"/>
      <c r="B133" s="332"/>
      <c r="C133" s="330" t="s">
        <v>976</v>
      </c>
      <c r="D133" s="708"/>
      <c r="E133" s="704"/>
      <c r="F133" s="691">
        <f t="shared" si="15"/>
        <v>1.2801729558095234E-4</v>
      </c>
      <c r="G133"/>
      <c r="H133" s="741"/>
    </row>
    <row r="134" spans="1:8" x14ac:dyDescent="0.25">
      <c r="A134" s="741"/>
      <c r="B134" s="332"/>
      <c r="C134" s="330" t="s">
        <v>977</v>
      </c>
      <c r="D134" s="708"/>
      <c r="E134" s="704"/>
      <c r="F134" s="691">
        <f t="shared" si="15"/>
        <v>1.956963022346791E-3</v>
      </c>
      <c r="G134"/>
      <c r="H134" s="741"/>
    </row>
    <row r="135" spans="1:8" ht="15.75" thickBot="1" x14ac:dyDescent="0.3">
      <c r="A135" s="741"/>
      <c r="B135" s="332"/>
      <c r="C135" s="331" t="s">
        <v>978</v>
      </c>
      <c r="D135" s="709"/>
      <c r="E135" s="527"/>
      <c r="F135" s="491">
        <f>(F130*0.00000110231)/$F$33</f>
        <v>3.1682595355292457E-4</v>
      </c>
      <c r="G135"/>
      <c r="H135" s="741"/>
    </row>
    <row r="136" spans="1:8" ht="12" customHeight="1" x14ac:dyDescent="0.25">
      <c r="A136" s="741"/>
      <c r="B136" s="302"/>
      <c r="C136" s="47"/>
      <c r="D136" s="47"/>
      <c r="E136"/>
      <c r="F136"/>
      <c r="G136"/>
      <c r="H136" s="741"/>
    </row>
    <row r="137" spans="1:8" x14ac:dyDescent="0.25">
      <c r="A137" s="741"/>
      <c r="B137" s="741"/>
      <c r="C137" s="741"/>
      <c r="D137" s="741"/>
      <c r="E137" s="741"/>
      <c r="F137" s="741"/>
      <c r="G137" s="741"/>
      <c r="H137" s="741"/>
    </row>
    <row r="138" spans="1:8" x14ac:dyDescent="0.25">
      <c r="D138" s="512"/>
    </row>
  </sheetData>
  <mergeCells count="7">
    <mergeCell ref="C2:F2"/>
    <mergeCell ref="C3:F3"/>
    <mergeCell ref="C26:F26"/>
    <mergeCell ref="C110:F110"/>
    <mergeCell ref="C29:F29"/>
    <mergeCell ref="C63:F63"/>
    <mergeCell ref="C86:F86"/>
  </mergeCell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OtherVariables!$I$121:$I$131</xm:f>
          </x14:formula1>
          <xm:sqref>F6</xm:sqref>
        </x14:dataValidation>
        <x14:dataValidation type="list" allowBlank="1" showInputMessage="1" showErrorMessage="1">
          <x14:formula1>
            <xm:f>OtherVariables!$C$9:$I$9</xm:f>
          </x14:formula1>
          <xm:sqref>D8:E17</xm:sqref>
        </x14:dataValidation>
        <x14:dataValidation type="list" allowBlank="1" showInputMessage="1" showErrorMessage="1">
          <x14:formula1>
            <xm:f>[4]OtherVariables!#REF!</xm:f>
          </x14:formula1>
          <xm:sqref>F9 F11</xm:sqref>
        </x14:dataValidation>
        <x14:dataValidation type="list" allowBlank="1" showInputMessage="1" showErrorMessage="1">
          <x14:formula1>
            <xm:f>[4]OtherVariables!#REF!</xm:f>
          </x14:formula1>
          <xm:sqref>F8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F211"/>
  <sheetViews>
    <sheetView showGridLines="0" zoomScale="80" zoomScaleNormal="80" workbookViewId="0">
      <selection activeCell="E198" sqref="E198"/>
    </sheetView>
  </sheetViews>
  <sheetFormatPr defaultRowHeight="15" x14ac:dyDescent="0.25"/>
  <cols>
    <col min="1" max="1" width="2.28515625" style="294" customWidth="1"/>
    <col min="2" max="2" width="1.85546875" style="294" customWidth="1"/>
    <col min="3" max="3" width="69.28515625" style="294" bestFit="1" customWidth="1"/>
    <col min="4" max="4" width="18.85546875" style="294" customWidth="1"/>
    <col min="5" max="5" width="17.85546875" style="294" bestFit="1" customWidth="1"/>
    <col min="6" max="7" width="16.7109375" style="294" bestFit="1" customWidth="1"/>
    <col min="8" max="8" width="1.5703125" style="294" customWidth="1"/>
    <col min="9" max="9" width="17.85546875" style="294" bestFit="1" customWidth="1"/>
    <col min="10" max="12" width="16.7109375" style="294" bestFit="1" customWidth="1"/>
    <col min="13" max="13" width="1.85546875" style="294" customWidth="1"/>
    <col min="14" max="14" width="2.7109375" style="294" customWidth="1"/>
    <col min="15" max="15" width="20.5703125" style="744" customWidth="1"/>
    <col min="16" max="16" width="9.140625" style="744"/>
    <col min="17" max="17" width="12.7109375" style="744" customWidth="1"/>
    <col min="18" max="18" width="13" style="744" customWidth="1"/>
    <col min="19" max="19" width="11.5703125" style="744" customWidth="1"/>
    <col min="20" max="20" width="11.140625" style="744" customWidth="1"/>
    <col min="21" max="32" width="9.140625" style="744"/>
    <col min="33" max="16384" width="9.140625" style="294"/>
  </cols>
  <sheetData>
    <row r="1" spans="1:25" x14ac:dyDescent="0.25">
      <c r="A1" s="301"/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</row>
    <row r="2" spans="1:25" x14ac:dyDescent="0.25">
      <c r="A2" s="301"/>
      <c r="B2" s="303"/>
      <c r="C2" s="303"/>
      <c r="D2" s="303"/>
      <c r="E2" s="303"/>
      <c r="F2" s="303"/>
      <c r="G2" s="303"/>
      <c r="H2" s="302"/>
      <c r="I2" s="302"/>
      <c r="J2" s="302"/>
      <c r="K2" s="302"/>
      <c r="L2" s="302"/>
      <c r="M2" s="303"/>
      <c r="N2" s="301"/>
    </row>
    <row r="3" spans="1:25" ht="28.5" customHeight="1" x14ac:dyDescent="0.25">
      <c r="A3" s="301"/>
      <c r="B3" s="302"/>
      <c r="C3" s="1203" t="s">
        <v>74</v>
      </c>
      <c r="D3" s="1203"/>
      <c r="E3" s="1203"/>
      <c r="F3" s="1203"/>
      <c r="G3" s="1203"/>
      <c r="H3" s="1203"/>
      <c r="I3" s="1203"/>
      <c r="J3" s="1203"/>
      <c r="K3" s="1203"/>
      <c r="L3" s="1203"/>
      <c r="M3" s="480"/>
      <c r="N3" s="301"/>
      <c r="O3" s="1148"/>
      <c r="T3" s="923"/>
      <c r="U3" s="923"/>
      <c r="V3" s="923"/>
      <c r="W3" s="923"/>
      <c r="X3" s="923"/>
      <c r="Y3" s="923"/>
    </row>
    <row r="4" spans="1:25" ht="14.25" customHeight="1" x14ac:dyDescent="0.25">
      <c r="A4" s="301"/>
      <c r="B4" s="30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480"/>
      <c r="N4" s="301"/>
      <c r="O4" s="1148"/>
      <c r="S4" s="923"/>
      <c r="T4" s="923"/>
      <c r="U4" s="923"/>
      <c r="V4" s="923"/>
      <c r="W4" s="923"/>
      <c r="X4" s="923"/>
      <c r="Y4" s="923"/>
    </row>
    <row r="5" spans="1:25" ht="21" customHeight="1" x14ac:dyDescent="0.25">
      <c r="A5" s="301"/>
      <c r="B5" s="302"/>
      <c r="C5" s="1250" t="s">
        <v>703</v>
      </c>
      <c r="D5" s="1250"/>
      <c r="E5" s="1250"/>
      <c r="F5" s="1250"/>
      <c r="G5" s="1250"/>
      <c r="H5" s="1250"/>
      <c r="I5" s="1250"/>
      <c r="J5" s="1250"/>
      <c r="K5" s="1250"/>
      <c r="L5" s="1250"/>
      <c r="M5" s="480"/>
      <c r="N5" s="301"/>
      <c r="O5" s="1148"/>
      <c r="S5" s="747"/>
      <c r="T5" s="747"/>
      <c r="U5" s="747"/>
      <c r="V5" s="747"/>
      <c r="W5" s="747"/>
      <c r="X5" s="923"/>
      <c r="Y5" s="923"/>
    </row>
    <row r="6" spans="1:25" ht="21.75" customHeight="1" x14ac:dyDescent="0.25">
      <c r="A6" s="301"/>
      <c r="B6" s="302"/>
      <c r="C6" s="305" t="s">
        <v>711</v>
      </c>
      <c r="D6" s="303"/>
      <c r="E6" s="303"/>
      <c r="F6" s="303"/>
      <c r="G6" s="303"/>
      <c r="H6" s="303"/>
      <c r="I6" s="303"/>
      <c r="J6" s="303"/>
      <c r="K6" s="303"/>
      <c r="L6" s="303"/>
      <c r="M6" s="480"/>
      <c r="N6" s="301"/>
      <c r="O6" s="1148"/>
      <c r="S6" s="747"/>
      <c r="T6" s="747"/>
      <c r="U6" s="747"/>
      <c r="V6" s="747"/>
      <c r="W6" s="747"/>
      <c r="X6" s="923"/>
      <c r="Y6" s="923"/>
    </row>
    <row r="7" spans="1:25" ht="22.5" customHeight="1" x14ac:dyDescent="0.25">
      <c r="A7" s="301"/>
      <c r="B7" s="302"/>
      <c r="C7" s="995" t="s">
        <v>726</v>
      </c>
      <c r="D7" s="993">
        <v>2017</v>
      </c>
      <c r="E7" s="480"/>
      <c r="F7" s="480"/>
      <c r="G7" s="480"/>
      <c r="H7" s="480"/>
      <c r="I7" s="480"/>
      <c r="J7" s="480"/>
      <c r="K7" s="480"/>
      <c r="L7" s="480"/>
      <c r="M7" s="480"/>
      <c r="N7" s="301"/>
      <c r="O7" s="1148"/>
      <c r="S7" s="747"/>
      <c r="T7" s="747"/>
      <c r="U7" s="747"/>
      <c r="V7" s="747"/>
      <c r="W7" s="747"/>
      <c r="X7" s="923"/>
      <c r="Y7" s="923"/>
    </row>
    <row r="8" spans="1:25" ht="22.5" customHeight="1" x14ac:dyDescent="0.25">
      <c r="A8" s="301"/>
      <c r="B8" s="302"/>
      <c r="C8" s="995" t="s">
        <v>285</v>
      </c>
      <c r="D8" s="994">
        <v>12.3</v>
      </c>
      <c r="E8" s="480"/>
      <c r="F8" s="480"/>
      <c r="G8" s="480"/>
      <c r="H8" s="480"/>
      <c r="I8" s="480"/>
      <c r="J8" s="480"/>
      <c r="K8" s="480"/>
      <c r="L8" s="480"/>
      <c r="M8" s="480"/>
      <c r="N8" s="301"/>
      <c r="O8" s="1148"/>
      <c r="S8" s="747"/>
      <c r="T8" s="747"/>
      <c r="U8" s="747"/>
      <c r="V8" s="747"/>
      <c r="W8" s="747"/>
      <c r="X8" s="923"/>
      <c r="Y8" s="923"/>
    </row>
    <row r="9" spans="1:25" ht="26.25" x14ac:dyDescent="0.25">
      <c r="A9" s="301"/>
      <c r="B9" s="302"/>
      <c r="C9" s="992" t="s">
        <v>27</v>
      </c>
      <c r="D9" s="991" t="s">
        <v>30</v>
      </c>
      <c r="E9" s="480"/>
      <c r="F9" s="480"/>
      <c r="G9" s="480"/>
      <c r="H9" s="480"/>
      <c r="I9" s="480"/>
      <c r="J9" s="480"/>
      <c r="K9" s="480"/>
      <c r="L9" s="480"/>
      <c r="M9" s="480"/>
      <c r="N9" s="301"/>
      <c r="O9" s="1148"/>
      <c r="S9" s="747"/>
      <c r="T9" s="747"/>
      <c r="U9" s="747"/>
      <c r="V9" s="747"/>
      <c r="W9" s="747"/>
      <c r="X9" s="923"/>
      <c r="Y9" s="923"/>
    </row>
    <row r="10" spans="1:25" ht="15" customHeight="1" x14ac:dyDescent="0.25">
      <c r="A10" s="301"/>
      <c r="B10" s="302"/>
      <c r="C10"/>
      <c r="D10" s="1251" t="s">
        <v>720</v>
      </c>
      <c r="E10" s="1251"/>
      <c r="F10" s="1251"/>
      <c r="G10" s="1251"/>
      <c r="H10" s="1251"/>
      <c r="I10" s="1251"/>
      <c r="J10" s="1251"/>
      <c r="K10" s="1251"/>
      <c r="L10" s="1251"/>
      <c r="M10" s="1"/>
      <c r="N10" s="301"/>
      <c r="O10" s="923"/>
      <c r="S10" s="747"/>
      <c r="T10" s="747"/>
      <c r="U10" s="747"/>
      <c r="V10" s="747"/>
      <c r="W10" s="747"/>
      <c r="X10" s="923"/>
      <c r="Y10" s="923"/>
    </row>
    <row r="11" spans="1:25" ht="15" customHeight="1" x14ac:dyDescent="0.25">
      <c r="A11" s="301"/>
      <c r="B11" s="302"/>
      <c r="C11" s="303"/>
      <c r="D11" s="1252" t="s">
        <v>286</v>
      </c>
      <c r="E11" s="1252"/>
      <c r="F11" s="1252"/>
      <c r="G11" s="1252"/>
      <c r="H11" s="894"/>
      <c r="I11" s="1252" t="s">
        <v>287</v>
      </c>
      <c r="J11" s="1252"/>
      <c r="K11" s="1252"/>
      <c r="L11" s="1252"/>
      <c r="M11" s="894"/>
      <c r="N11" s="301"/>
      <c r="O11" s="924"/>
      <c r="S11" s="747"/>
      <c r="T11" s="747"/>
      <c r="U11" s="747"/>
      <c r="V11" s="747"/>
      <c r="W11" s="747"/>
      <c r="X11" s="923"/>
      <c r="Y11" s="923"/>
    </row>
    <row r="12" spans="1:25" ht="15" customHeight="1" x14ac:dyDescent="0.25">
      <c r="A12" s="301"/>
      <c r="B12" s="302"/>
      <c r="C12" s="303"/>
      <c r="D12" s="1209" t="s">
        <v>288</v>
      </c>
      <c r="E12" s="1209"/>
      <c r="F12" s="1209" t="s">
        <v>289</v>
      </c>
      <c r="G12" s="1209"/>
      <c r="H12" s="164"/>
      <c r="I12" s="1209" t="s">
        <v>288</v>
      </c>
      <c r="J12" s="1209"/>
      <c r="K12" s="1209" t="s">
        <v>289</v>
      </c>
      <c r="L12" s="1209"/>
      <c r="M12" s="164"/>
      <c r="N12" s="301"/>
      <c r="O12" s="924"/>
      <c r="Q12" s="1086"/>
      <c r="R12" s="1086"/>
      <c r="S12" s="1086"/>
      <c r="T12" s="1086"/>
      <c r="V12" s="747"/>
      <c r="W12" s="747"/>
      <c r="X12" s="1125"/>
    </row>
    <row r="13" spans="1:25" ht="15" customHeight="1" x14ac:dyDescent="0.25">
      <c r="A13" s="301"/>
      <c r="B13" s="302"/>
      <c r="C13" s="303"/>
      <c r="D13" s="618" t="s">
        <v>689</v>
      </c>
      <c r="E13" s="618" t="s">
        <v>690</v>
      </c>
      <c r="F13" s="618" t="s">
        <v>689</v>
      </c>
      <c r="G13" s="618" t="s">
        <v>690</v>
      </c>
      <c r="H13" s="303"/>
      <c r="I13" s="618" t="s">
        <v>689</v>
      </c>
      <c r="J13" s="618" t="s">
        <v>690</v>
      </c>
      <c r="K13" s="618" t="s">
        <v>689</v>
      </c>
      <c r="L13" s="618" t="s">
        <v>690</v>
      </c>
      <c r="M13" s="164"/>
      <c r="N13" s="301"/>
      <c r="O13" s="924"/>
      <c r="Q13" s="1086"/>
      <c r="R13" s="1085"/>
      <c r="S13" s="1086"/>
      <c r="T13" s="1085"/>
      <c r="V13" s="747"/>
      <c r="W13" s="747"/>
      <c r="X13" s="1125"/>
    </row>
    <row r="14" spans="1:25" ht="15" customHeight="1" x14ac:dyDescent="0.25">
      <c r="A14" s="301"/>
      <c r="B14" s="302"/>
      <c r="C14" s="443" t="s">
        <v>290</v>
      </c>
      <c r="D14" s="269">
        <v>5</v>
      </c>
      <c r="E14" s="269">
        <v>5</v>
      </c>
      <c r="F14" s="269">
        <v>0</v>
      </c>
      <c r="G14" s="269">
        <v>0</v>
      </c>
      <c r="H14" s="444"/>
      <c r="I14" s="269">
        <v>5</v>
      </c>
      <c r="J14" s="269">
        <v>5</v>
      </c>
      <c r="K14" s="269">
        <v>0</v>
      </c>
      <c r="L14" s="269">
        <v>0</v>
      </c>
      <c r="M14" s="381"/>
      <c r="N14" s="301"/>
      <c r="O14" s="925"/>
      <c r="Q14" s="1086"/>
      <c r="R14" s="1085"/>
      <c r="S14" s="1086"/>
      <c r="T14" s="1085"/>
      <c r="V14" s="747"/>
      <c r="W14" s="747"/>
      <c r="X14" s="1125"/>
    </row>
    <row r="15" spans="1:25" ht="15" customHeight="1" x14ac:dyDescent="0.25">
      <c r="A15" s="301"/>
      <c r="B15" s="302"/>
      <c r="C15" s="443" t="s">
        <v>291</v>
      </c>
      <c r="D15" s="443"/>
      <c r="E15" s="443"/>
      <c r="F15" s="34">
        <v>1</v>
      </c>
      <c r="G15" s="34">
        <v>1</v>
      </c>
      <c r="H15" s="444"/>
      <c r="I15" s="443"/>
      <c r="J15" s="443"/>
      <c r="K15" s="34">
        <v>1</v>
      </c>
      <c r="L15" s="34">
        <v>1</v>
      </c>
      <c r="M15" s="381"/>
      <c r="N15" s="301"/>
      <c r="O15" s="925"/>
      <c r="U15" s="1125"/>
      <c r="V15" s="1125"/>
      <c r="W15" s="1125"/>
      <c r="X15" s="1125"/>
    </row>
    <row r="16" spans="1:25" ht="15" customHeight="1" x14ac:dyDescent="0.25">
      <c r="A16" s="301"/>
      <c r="B16" s="302"/>
      <c r="C16" s="443" t="s">
        <v>292</v>
      </c>
      <c r="D16" s="34">
        <v>800</v>
      </c>
      <c r="E16" s="34">
        <v>2000</v>
      </c>
      <c r="F16" s="34">
        <v>0</v>
      </c>
      <c r="G16" s="34">
        <v>0</v>
      </c>
      <c r="H16" s="444"/>
      <c r="I16" s="34">
        <v>2000</v>
      </c>
      <c r="J16" s="34">
        <v>1200</v>
      </c>
      <c r="K16" s="34">
        <v>0</v>
      </c>
      <c r="L16" s="34">
        <v>0</v>
      </c>
      <c r="M16" s="381"/>
      <c r="N16" s="301"/>
      <c r="U16" s="1125"/>
      <c r="V16" s="1125"/>
      <c r="W16" s="1125"/>
      <c r="X16" s="1125"/>
    </row>
    <row r="17" spans="1:26" ht="15" customHeight="1" x14ac:dyDescent="0.25">
      <c r="A17" s="301"/>
      <c r="B17" s="302"/>
      <c r="C17" s="443" t="s">
        <v>293</v>
      </c>
      <c r="D17" s="172">
        <v>0.95</v>
      </c>
      <c r="E17" s="172">
        <v>0.95</v>
      </c>
      <c r="F17" s="172">
        <v>0.995</v>
      </c>
      <c r="G17" s="172">
        <v>0.995</v>
      </c>
      <c r="H17" s="444"/>
      <c r="I17" s="172">
        <v>0.95</v>
      </c>
      <c r="J17" s="172">
        <v>0.95</v>
      </c>
      <c r="K17" s="172">
        <v>0.995</v>
      </c>
      <c r="L17" s="172">
        <v>0.995</v>
      </c>
      <c r="M17" s="895"/>
      <c r="N17" s="301"/>
      <c r="O17" s="925"/>
      <c r="U17" s="1125"/>
      <c r="V17" s="1125"/>
      <c r="W17" s="1125"/>
      <c r="X17" s="1125"/>
    </row>
    <row r="18" spans="1:26" x14ac:dyDescent="0.25">
      <c r="A18" s="301"/>
      <c r="B18" s="302"/>
      <c r="C18" s="996" t="str">
        <f>"% Buses - Before Project (1% equals "&amp;D16*0.01&amp;" buses per hour)"</f>
        <v>% Buses - Before Project (1% equals 8 buses per hour)</v>
      </c>
      <c r="D18" s="997">
        <v>5.0000000000000001E-3</v>
      </c>
      <c r="E18" s="997">
        <v>5.0000000000000001E-3</v>
      </c>
      <c r="F18" s="997">
        <v>5.0000000000000001E-3</v>
      </c>
      <c r="G18" s="997">
        <v>5.0000000000000001E-3</v>
      </c>
      <c r="H18" s="910"/>
      <c r="I18" s="997">
        <v>5.0000000000000001E-3</v>
      </c>
      <c r="J18" s="997">
        <v>5.0000000000000001E-3</v>
      </c>
      <c r="K18" s="997">
        <v>5.0000000000000001E-3</v>
      </c>
      <c r="L18" s="997">
        <v>5.0000000000000001E-3</v>
      </c>
      <c r="M18" s="895"/>
      <c r="N18" s="301"/>
      <c r="O18" s="926"/>
      <c r="U18" s="1125"/>
      <c r="V18" s="1125"/>
      <c r="W18" s="1125"/>
      <c r="X18" s="1125"/>
    </row>
    <row r="19" spans="1:26" x14ac:dyDescent="0.25">
      <c r="A19" s="301"/>
      <c r="B19" s="302"/>
      <c r="C19" s="443" t="s">
        <v>294</v>
      </c>
      <c r="D19" s="172">
        <v>4.4999999999999998E-2</v>
      </c>
      <c r="E19" s="172">
        <v>4.4999999999999998E-2</v>
      </c>
      <c r="F19" s="172">
        <v>0</v>
      </c>
      <c r="G19" s="172">
        <v>0</v>
      </c>
      <c r="H19" s="444"/>
      <c r="I19" s="172">
        <v>4.4999999999999998E-2</v>
      </c>
      <c r="J19" s="172">
        <v>4.4999999999999998E-2</v>
      </c>
      <c r="K19" s="172">
        <v>0</v>
      </c>
      <c r="L19" s="172">
        <v>0</v>
      </c>
      <c r="M19" s="895"/>
      <c r="N19" s="301"/>
      <c r="O19" s="925"/>
      <c r="Q19" s="1086"/>
      <c r="R19" s="1086"/>
      <c r="S19" s="1086"/>
      <c r="T19" s="1086"/>
      <c r="U19" s="1086"/>
      <c r="V19" s="1086"/>
      <c r="W19" s="1086"/>
      <c r="X19" s="1086"/>
      <c r="Y19" s="1086"/>
      <c r="Z19" s="1086"/>
    </row>
    <row r="20" spans="1:26" x14ac:dyDescent="0.25">
      <c r="A20" s="301"/>
      <c r="B20" s="302"/>
      <c r="C20" s="303"/>
      <c r="D20" s="303"/>
      <c r="E20" s="303"/>
      <c r="F20" s="381"/>
      <c r="G20" s="381"/>
      <c r="H20" s="1"/>
      <c r="I20" s="303"/>
      <c r="J20" s="303"/>
      <c r="K20" s="381"/>
      <c r="L20" s="381"/>
      <c r="M20" s="381"/>
      <c r="N20" s="301"/>
      <c r="O20" s="926"/>
      <c r="Q20" s="1086"/>
      <c r="R20" s="1086"/>
      <c r="S20" s="1086"/>
      <c r="T20" s="1086"/>
      <c r="U20" s="1086"/>
      <c r="V20" s="1086"/>
      <c r="W20" s="1086"/>
      <c r="X20" s="1086"/>
      <c r="Y20" s="1086"/>
      <c r="Z20" s="1086"/>
    </row>
    <row r="21" spans="1:26" ht="15.75" x14ac:dyDescent="0.25">
      <c r="A21" s="301"/>
      <c r="B21" s="302"/>
      <c r="C21" s="1208" t="s">
        <v>744</v>
      </c>
      <c r="D21" s="1208"/>
      <c r="E21" s="1208"/>
      <c r="F21" s="1208"/>
      <c r="G21" s="1208"/>
      <c r="H21" s="1208"/>
      <c r="I21" s="1208"/>
      <c r="J21" s="1208"/>
      <c r="K21" s="1208"/>
      <c r="L21" s="1208"/>
      <c r="M21" s="381"/>
      <c r="N21" s="301"/>
      <c r="O21" s="926"/>
      <c r="Q21" s="1086"/>
      <c r="R21" s="1086"/>
      <c r="S21" s="1155"/>
      <c r="T21" s="1086"/>
      <c r="U21" s="1086"/>
      <c r="V21" s="1086"/>
      <c r="W21" s="1086"/>
      <c r="X21" s="1086"/>
      <c r="Y21" s="1086"/>
      <c r="Z21" s="1086"/>
    </row>
    <row r="22" spans="1:26" ht="15" customHeight="1" x14ac:dyDescent="0.25">
      <c r="A22" s="301"/>
      <c r="B22" s="302"/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381"/>
      <c r="N22" s="301"/>
      <c r="O22" s="926"/>
      <c r="Q22" s="1086"/>
      <c r="R22" s="1086"/>
      <c r="S22" s="1086"/>
      <c r="T22" s="1086"/>
      <c r="U22" s="1086"/>
      <c r="V22" s="1086"/>
      <c r="W22" s="1086"/>
      <c r="X22" s="1086"/>
      <c r="Y22" s="1086"/>
      <c r="Z22" s="1086"/>
    </row>
    <row r="23" spans="1:26" ht="30" x14ac:dyDescent="0.25">
      <c r="A23" s="301"/>
      <c r="B23" s="302"/>
      <c r="C23" s="908" t="s">
        <v>295</v>
      </c>
      <c r="D23" s="1258">
        <v>0.92</v>
      </c>
      <c r="E23" s="1258"/>
      <c r="F23" s="910"/>
      <c r="G23" s="910"/>
      <c r="H23" s="910"/>
      <c r="I23" s="444"/>
      <c r="J23" s="910"/>
      <c r="K23" s="910"/>
      <c r="L23" s="910"/>
      <c r="M23" s="45"/>
      <c r="N23" s="301"/>
      <c r="O23" s="927"/>
      <c r="Q23" s="1086"/>
      <c r="R23" s="1086"/>
      <c r="S23" s="1086"/>
      <c r="T23" s="1086"/>
      <c r="U23" s="1086"/>
      <c r="V23" s="1086"/>
      <c r="W23" s="1086"/>
      <c r="X23" s="1086"/>
      <c r="Y23" s="1086"/>
      <c r="Z23" s="1086"/>
    </row>
    <row r="24" spans="1:26" x14ac:dyDescent="0.25">
      <c r="A24" s="301"/>
      <c r="B24" s="302"/>
      <c r="C24" s="444" t="s">
        <v>51</v>
      </c>
      <c r="D24" s="1257">
        <v>1.2</v>
      </c>
      <c r="E24" s="1257"/>
      <c r="F24" s="911"/>
      <c r="G24" s="911"/>
      <c r="H24" s="911"/>
      <c r="I24" s="911"/>
      <c r="J24" s="911"/>
      <c r="K24" s="911"/>
      <c r="L24" s="911"/>
      <c r="M24" s="896"/>
      <c r="N24" s="301"/>
      <c r="O24" s="928"/>
      <c r="Q24" s="1086"/>
      <c r="R24" s="1086"/>
      <c r="S24" s="1086"/>
      <c r="T24" s="1086"/>
      <c r="U24" s="1086"/>
      <c r="V24" s="1086"/>
      <c r="W24" s="1086"/>
      <c r="X24" s="1086"/>
      <c r="Y24" s="1086"/>
      <c r="Z24" s="1086"/>
    </row>
    <row r="25" spans="1:26" x14ac:dyDescent="0.25">
      <c r="A25" s="301"/>
      <c r="B25" s="302"/>
      <c r="C25" s="444" t="s">
        <v>53</v>
      </c>
      <c r="D25" s="1256">
        <v>250</v>
      </c>
      <c r="E25" s="1256"/>
      <c r="F25" s="909"/>
      <c r="G25" s="911"/>
      <c r="H25" s="909"/>
      <c r="I25" s="909"/>
      <c r="J25" s="909"/>
      <c r="K25" s="909"/>
      <c r="L25" s="909"/>
      <c r="M25" s="897"/>
      <c r="N25" s="301"/>
      <c r="O25" s="927"/>
      <c r="Q25" s="1086"/>
      <c r="R25" s="1086"/>
      <c r="S25" s="1086"/>
      <c r="T25" s="1086"/>
      <c r="U25" s="1086"/>
      <c r="V25" s="1086"/>
      <c r="W25" s="1086"/>
      <c r="X25" s="1086"/>
      <c r="Y25" s="1086"/>
      <c r="Z25" s="1086"/>
    </row>
    <row r="26" spans="1:26" x14ac:dyDescent="0.25">
      <c r="A26" s="301"/>
      <c r="B26" s="302"/>
      <c r="C26" s="444" t="s">
        <v>49</v>
      </c>
      <c r="D26" s="1259" t="s">
        <v>215</v>
      </c>
      <c r="E26" s="1260"/>
      <c r="F26" s="1259" t="s">
        <v>217</v>
      </c>
      <c r="G26" s="1260"/>
      <c r="H26" s="909"/>
      <c r="I26" s="909"/>
      <c r="J26" s="909"/>
      <c r="K26" s="909"/>
      <c r="L26" s="909"/>
      <c r="M26" s="897"/>
      <c r="N26" s="301"/>
      <c r="O26" s="927"/>
      <c r="Q26" s="1086"/>
      <c r="R26" s="1086"/>
      <c r="S26" s="1086"/>
      <c r="T26" s="1086"/>
      <c r="U26" s="1086"/>
      <c r="V26" s="1086"/>
      <c r="W26" s="1086"/>
      <c r="X26" s="1086"/>
      <c r="Y26" s="1086"/>
      <c r="Z26" s="1086"/>
    </row>
    <row r="27" spans="1:26" x14ac:dyDescent="0.25">
      <c r="A27" s="301"/>
      <c r="B27" s="302"/>
      <c r="C27" s="444"/>
      <c r="D27" s="909"/>
      <c r="E27" s="909"/>
      <c r="F27" s="909"/>
      <c r="G27" s="909"/>
      <c r="H27" s="909"/>
      <c r="I27" s="909"/>
      <c r="J27" s="909"/>
      <c r="K27" s="909"/>
      <c r="L27" s="909"/>
      <c r="M27" s="897"/>
      <c r="N27" s="301"/>
      <c r="O27" s="927"/>
      <c r="Q27" s="1086"/>
      <c r="R27" s="1086"/>
      <c r="S27" s="1086"/>
      <c r="T27" s="1086"/>
      <c r="U27" s="1086"/>
      <c r="V27" s="1086"/>
      <c r="W27" s="1086"/>
      <c r="X27" s="1086"/>
      <c r="Y27" s="1086"/>
      <c r="Z27" s="1086"/>
    </row>
    <row r="28" spans="1:26" x14ac:dyDescent="0.25">
      <c r="A28" s="301"/>
      <c r="B28" s="302"/>
      <c r="C28" s="444"/>
      <c r="D28" s="1253" t="s">
        <v>286</v>
      </c>
      <c r="E28" s="1253"/>
      <c r="F28" s="1253"/>
      <c r="G28" s="1253"/>
      <c r="H28" s="905"/>
      <c r="I28" s="1253" t="s">
        <v>287</v>
      </c>
      <c r="J28" s="1253"/>
      <c r="K28" s="1253"/>
      <c r="L28" s="1253"/>
      <c r="M28" s="894"/>
      <c r="N28" s="301"/>
      <c r="O28" s="927"/>
      <c r="Q28" s="1086"/>
      <c r="R28" s="1086"/>
      <c r="S28" s="1086"/>
      <c r="T28" s="1086"/>
      <c r="U28" s="1086"/>
      <c r="V28" s="1086"/>
      <c r="W28" s="1086"/>
      <c r="X28" s="1086"/>
      <c r="Y28" s="1086"/>
      <c r="Z28" s="1086"/>
    </row>
    <row r="29" spans="1:26" x14ac:dyDescent="0.25">
      <c r="A29" s="301"/>
      <c r="B29" s="302"/>
      <c r="C29" s="444"/>
      <c r="D29" s="1254" t="s">
        <v>288</v>
      </c>
      <c r="E29" s="1254"/>
      <c r="F29" s="1254" t="s">
        <v>289</v>
      </c>
      <c r="G29" s="1254"/>
      <c r="H29" s="906"/>
      <c r="I29" s="1254" t="s">
        <v>288</v>
      </c>
      <c r="J29" s="1254"/>
      <c r="K29" s="1254" t="s">
        <v>289</v>
      </c>
      <c r="L29" s="1254"/>
      <c r="M29" s="164"/>
      <c r="N29" s="301"/>
      <c r="O29" s="927"/>
      <c r="Q29" s="1086"/>
      <c r="R29" s="1086"/>
      <c r="S29" s="1086"/>
      <c r="T29" s="1089"/>
      <c r="U29" s="1086"/>
      <c r="V29" s="1086"/>
      <c r="W29" s="1086"/>
    </row>
    <row r="30" spans="1:26" x14ac:dyDescent="0.25">
      <c r="A30" s="301"/>
      <c r="B30" s="302"/>
      <c r="C30" s="444"/>
      <c r="D30" s="907" t="s">
        <v>689</v>
      </c>
      <c r="E30" s="907" t="s">
        <v>690</v>
      </c>
      <c r="F30" s="907" t="s">
        <v>689</v>
      </c>
      <c r="G30" s="907" t="s">
        <v>690</v>
      </c>
      <c r="H30" s="909"/>
      <c r="I30" s="907" t="s">
        <v>689</v>
      </c>
      <c r="J30" s="907" t="s">
        <v>690</v>
      </c>
      <c r="K30" s="907" t="s">
        <v>689</v>
      </c>
      <c r="L30" s="907" t="s">
        <v>690</v>
      </c>
      <c r="M30" s="164"/>
      <c r="N30" s="301"/>
      <c r="Q30" s="1126"/>
      <c r="R30" s="1086"/>
      <c r="S30" s="1086"/>
      <c r="T30" s="1089"/>
      <c r="U30" s="1086"/>
      <c r="V30" s="1086"/>
      <c r="W30" s="1086"/>
    </row>
    <row r="31" spans="1:26" x14ac:dyDescent="0.25">
      <c r="A31" s="301"/>
      <c r="B31" s="302"/>
      <c r="C31" s="444" t="s">
        <v>297</v>
      </c>
      <c r="D31" s="273">
        <v>1.9</v>
      </c>
      <c r="E31" s="273">
        <v>1.9</v>
      </c>
      <c r="F31" s="273">
        <v>1.9</v>
      </c>
      <c r="G31" s="273">
        <v>1.9</v>
      </c>
      <c r="H31" s="910"/>
      <c r="I31" s="273">
        <v>1.9</v>
      </c>
      <c r="J31" s="273">
        <v>1.9</v>
      </c>
      <c r="K31" s="273">
        <v>1.9</v>
      </c>
      <c r="L31" s="273">
        <v>1.9</v>
      </c>
      <c r="M31" s="898"/>
      <c r="N31" s="301"/>
      <c r="O31" s="927"/>
      <c r="Q31" s="1126"/>
      <c r="R31" s="1086"/>
      <c r="S31" s="1086"/>
      <c r="T31" s="1089"/>
      <c r="U31" s="1086"/>
      <c r="V31" s="1086"/>
      <c r="W31" s="1086"/>
    </row>
    <row r="32" spans="1:26" x14ac:dyDescent="0.25">
      <c r="A32" s="301"/>
      <c r="B32" s="302"/>
      <c r="C32" s="444" t="s">
        <v>298</v>
      </c>
      <c r="D32" s="273">
        <v>3.6</v>
      </c>
      <c r="E32" s="273">
        <v>3.6</v>
      </c>
      <c r="F32" s="273">
        <v>3.6</v>
      </c>
      <c r="G32" s="273">
        <v>3.6</v>
      </c>
      <c r="H32" s="910"/>
      <c r="I32" s="273">
        <v>3.6</v>
      </c>
      <c r="J32" s="273">
        <v>3.6</v>
      </c>
      <c r="K32" s="273">
        <v>3.6</v>
      </c>
      <c r="L32" s="273">
        <v>3.6</v>
      </c>
      <c r="M32" s="898"/>
      <c r="N32" s="301"/>
      <c r="O32" s="927"/>
      <c r="Q32" s="1126"/>
      <c r="R32" s="1086"/>
      <c r="S32" s="1086"/>
      <c r="T32" s="1089"/>
      <c r="U32" s="1086"/>
      <c r="V32" s="1086"/>
      <c r="W32" s="1086"/>
    </row>
    <row r="33" spans="1:23" x14ac:dyDescent="0.25">
      <c r="A33" s="301"/>
      <c r="B33" s="302"/>
      <c r="C33" s="444" t="s">
        <v>299</v>
      </c>
      <c r="D33" s="274">
        <f>INDEX(Capacity,MATCH($D$26,INDEX(Capacity,,1),0),MATCH($D$9,INDEX(Capacity,1,),0))</f>
        <v>1800</v>
      </c>
      <c r="E33" s="274">
        <f>INDEX(Capacity,MATCH($D$26,INDEX(Capacity,,1),0),MATCH($D$9,INDEX(Capacity,1,),0))</f>
        <v>1800</v>
      </c>
      <c r="F33" s="274">
        <f>IF(F14=0, 0, INDEX(Capacity,MATCH($F$26,INDEX(Capacity,,1),0),MATCH($D$9,INDEX(Capacity,1,),0)))</f>
        <v>0</v>
      </c>
      <c r="G33" s="274">
        <f>IF(G14=0, 0, INDEX(Capacity,MATCH($F$26,INDEX(Capacity,,1),0),MATCH($D$9,INDEX(Capacity,1,),0)))</f>
        <v>0</v>
      </c>
      <c r="H33" s="910"/>
      <c r="I33" s="274">
        <f>INDEX(Capacity,MATCH($D$26,INDEX(Capacity,,1),0),MATCH($D$9,INDEX(Capacity,1,),0))</f>
        <v>1800</v>
      </c>
      <c r="J33" s="274">
        <f>INDEX(Capacity,MATCH($D$26,INDEX(Capacity,,1),0),MATCH($D$9,INDEX(Capacity,1,),0))</f>
        <v>1800</v>
      </c>
      <c r="K33" s="274">
        <f>IF(K14=0, 0, INDEX(Capacity,MATCH($F$26,INDEX(Capacity,,1),0),MATCH($D$9,INDEX(Capacity,1,),0)))</f>
        <v>0</v>
      </c>
      <c r="L33" s="274">
        <f>IF(L14=0, 0, INDEX(Capacity,MATCH($F$26,INDEX(Capacity,,1),0),MATCH($D$9,INDEX(Capacity,1,),0)))</f>
        <v>0</v>
      </c>
      <c r="M33" s="899"/>
      <c r="N33" s="301"/>
      <c r="O33" s="927"/>
      <c r="Q33" s="1126"/>
      <c r="R33" s="1086"/>
      <c r="S33" s="1086"/>
      <c r="T33" s="1089"/>
      <c r="U33" s="1086"/>
      <c r="V33" s="1086"/>
      <c r="W33" s="1086"/>
    </row>
    <row r="34" spans="1:23" x14ac:dyDescent="0.25">
      <c r="A34" s="301"/>
      <c r="B34" s="302"/>
      <c r="C34" s="444" t="s">
        <v>300</v>
      </c>
      <c r="D34" s="274">
        <f>INDEX(Capacity,MATCH($D$26,INDEX(Capacity,,1),0),MATCH($D$9,INDEX(Capacity,1,),0))</f>
        <v>1800</v>
      </c>
      <c r="E34" s="274">
        <f>INDEX(Capacity,MATCH($D$26,INDEX(Capacity,,1),0),MATCH($D$9,INDEX(Capacity,1,),0))</f>
        <v>1800</v>
      </c>
      <c r="F34" s="274">
        <f>IF(F15=0, 0, INDEX(Capacity,MATCH($F$26,INDEX(Capacity,,1),0),MATCH($D$9,INDEX(Capacity,1,),0)))</f>
        <v>1600</v>
      </c>
      <c r="G34" s="274">
        <f>IF(G15=0, 0, INDEX(Capacity,MATCH($F$26,INDEX(Capacity,,1),0),MATCH($D$9,INDEX(Capacity,1,),0)))</f>
        <v>1600</v>
      </c>
      <c r="H34" s="910"/>
      <c r="I34" s="274">
        <f>INDEX(Capacity,MATCH($D$26,INDEX(Capacity,,1),0),MATCH($D$9,INDEX(Capacity,1,),0))</f>
        <v>1800</v>
      </c>
      <c r="J34" s="274">
        <f>INDEX(Capacity,MATCH($D$26,INDEX(Capacity,,1),0),MATCH($D$9,INDEX(Capacity,1,),0))</f>
        <v>1800</v>
      </c>
      <c r="K34" s="274">
        <f>IF(K15=0, 0, INDEX(Capacity,MATCH($F$26,INDEX(Capacity,,1),0),MATCH($D$9,INDEX(Capacity,1,),0)))</f>
        <v>1600</v>
      </c>
      <c r="L34" s="274">
        <f>IF(L15=0, 0, INDEX(Capacity,MATCH($F$26,INDEX(Capacity,,1),0),MATCH($D$9,INDEX(Capacity,1,),0)))</f>
        <v>1600</v>
      </c>
      <c r="M34" s="899"/>
      <c r="N34" s="301"/>
      <c r="O34" s="927"/>
      <c r="P34" s="1086"/>
      <c r="Q34" s="1126"/>
      <c r="R34" s="1086"/>
      <c r="S34" s="1086"/>
      <c r="T34" s="1089"/>
      <c r="U34" s="1086"/>
      <c r="V34" s="1086"/>
      <c r="W34" s="1086"/>
    </row>
    <row r="35" spans="1:23" x14ac:dyDescent="0.25">
      <c r="A35" s="301"/>
      <c r="B35" s="302"/>
      <c r="C35" s="444" t="s">
        <v>301</v>
      </c>
      <c r="D35" s="274">
        <f>INDEX(Speed,MATCH($D$26,INDEX(Speed,,1),0),MATCH($D$9,INDEX(Speed,1,),0))</f>
        <v>61</v>
      </c>
      <c r="E35" s="274">
        <f>INDEX(Speed,MATCH($D$26,INDEX(Speed,,1),0),MATCH($D$9,INDEX(Speed,1,),0))</f>
        <v>61</v>
      </c>
      <c r="F35" s="274">
        <f>INDEX(Speed,MATCH($D$26,INDEX(Speed,,1),0),MATCH($D$9,INDEX(Speed,1,),0))</f>
        <v>61</v>
      </c>
      <c r="G35" s="274">
        <f>INDEX(Speed,MATCH($D$26,INDEX(Speed,,1),0),MATCH($D$9,INDEX(Speed,1,),0))</f>
        <v>61</v>
      </c>
      <c r="H35" s="910"/>
      <c r="I35" s="274">
        <f>INDEX(Speed,MATCH($D$26,INDEX(Speed,,1),0),MATCH($D$9,INDEX(Speed,1,),0))</f>
        <v>61</v>
      </c>
      <c r="J35" s="274">
        <f>INDEX(Speed,MATCH($D$26,INDEX(Speed,,1),0),MATCH($D$9,INDEX(Speed,1,),0))</f>
        <v>61</v>
      </c>
      <c r="K35" s="274">
        <f>INDEX(Speed,MATCH($D$26,INDEX(Speed,,1),0),MATCH($D$9,INDEX(Speed,1,),0))</f>
        <v>61</v>
      </c>
      <c r="L35" s="274">
        <f>INDEX(Speed,MATCH($D$26,INDEX(Speed,,1),0),MATCH($D$9,INDEX(Speed,1,),0))</f>
        <v>61</v>
      </c>
      <c r="M35" s="899"/>
      <c r="N35" s="301"/>
      <c r="O35" s="927"/>
      <c r="P35" s="1086"/>
      <c r="Q35" s="1126"/>
      <c r="R35" s="1086"/>
      <c r="S35" s="1086"/>
      <c r="T35" s="1089"/>
      <c r="U35" s="1086"/>
      <c r="V35" s="1086"/>
      <c r="W35" s="1086"/>
    </row>
    <row r="36" spans="1:23" x14ac:dyDescent="0.25">
      <c r="A36" s="301"/>
      <c r="B36" s="302"/>
      <c r="C36" s="1017" t="s">
        <v>302</v>
      </c>
      <c r="D36" s="912"/>
      <c r="E36" s="912"/>
      <c r="F36" s="273">
        <v>0.9</v>
      </c>
      <c r="G36" s="273">
        <v>0.9</v>
      </c>
      <c r="H36" s="910"/>
      <c r="I36" s="912"/>
      <c r="J36" s="912"/>
      <c r="K36" s="273">
        <v>0.9</v>
      </c>
      <c r="L36" s="273">
        <v>0.9</v>
      </c>
      <c r="M36" s="898"/>
      <c r="N36" s="301"/>
      <c r="O36" s="929"/>
      <c r="P36" s="1086"/>
    </row>
    <row r="37" spans="1:23" x14ac:dyDescent="0.25">
      <c r="A37" s="301"/>
      <c r="B37" s="302"/>
      <c r="C37" s="359" t="s">
        <v>303</v>
      </c>
      <c r="D37" s="273">
        <v>0.93</v>
      </c>
      <c r="E37" s="273">
        <v>0.93</v>
      </c>
      <c r="F37" s="912"/>
      <c r="G37" s="912"/>
      <c r="H37" s="910"/>
      <c r="I37" s="273">
        <v>0.93</v>
      </c>
      <c r="J37" s="273">
        <v>0.93</v>
      </c>
      <c r="K37" s="912"/>
      <c r="L37" s="912"/>
      <c r="M37" s="900"/>
      <c r="N37" s="301"/>
      <c r="O37" s="930"/>
      <c r="P37" s="1086"/>
    </row>
    <row r="38" spans="1:23" x14ac:dyDescent="0.25">
      <c r="A38" s="301"/>
      <c r="B38" s="302"/>
      <c r="C38" s="444" t="s">
        <v>456</v>
      </c>
      <c r="D38" s="274">
        <v>4</v>
      </c>
      <c r="E38" s="274">
        <v>4</v>
      </c>
      <c r="F38" s="274">
        <v>4</v>
      </c>
      <c r="G38" s="274">
        <v>4</v>
      </c>
      <c r="H38" s="910"/>
      <c r="I38" s="274">
        <v>4</v>
      </c>
      <c r="J38" s="274">
        <v>4</v>
      </c>
      <c r="K38" s="274">
        <v>4</v>
      </c>
      <c r="L38" s="274">
        <v>4</v>
      </c>
      <c r="M38" s="899"/>
      <c r="N38" s="301"/>
      <c r="O38" s="930"/>
      <c r="P38" s="1086"/>
    </row>
    <row r="39" spans="1:23" x14ac:dyDescent="0.25">
      <c r="A39" s="301"/>
      <c r="B39" s="302"/>
      <c r="C39" s="444" t="s">
        <v>53</v>
      </c>
      <c r="D39" s="274">
        <v>250</v>
      </c>
      <c r="E39" s="274">
        <v>250</v>
      </c>
      <c r="F39" s="274">
        <v>250</v>
      </c>
      <c r="G39" s="274">
        <v>250</v>
      </c>
      <c r="H39" s="910"/>
      <c r="I39" s="274">
        <v>250</v>
      </c>
      <c r="J39" s="274">
        <v>250</v>
      </c>
      <c r="K39" s="274">
        <v>250</v>
      </c>
      <c r="L39" s="274">
        <v>250</v>
      </c>
      <c r="M39" s="899"/>
      <c r="N39" s="301"/>
      <c r="O39" s="1123"/>
      <c r="P39" s="1086"/>
    </row>
    <row r="40" spans="1:23" x14ac:dyDescent="0.25">
      <c r="A40" s="301"/>
      <c r="B40" s="303"/>
      <c r="C40" s="1"/>
      <c r="D40" s="899"/>
      <c r="E40" s="899"/>
      <c r="F40" s="899"/>
      <c r="G40" s="899"/>
      <c r="H40" s="45"/>
      <c r="I40" s="899"/>
      <c r="J40" s="899"/>
      <c r="K40" s="899"/>
      <c r="L40" s="899"/>
      <c r="M40" s="899"/>
      <c r="N40" s="301"/>
      <c r="O40" s="1123"/>
      <c r="P40" s="1086"/>
    </row>
    <row r="41" spans="1:23" ht="15.75" x14ac:dyDescent="0.25">
      <c r="A41" s="301"/>
      <c r="B41" s="302"/>
      <c r="C41" s="1208" t="s">
        <v>700</v>
      </c>
      <c r="D41" s="1208"/>
      <c r="E41" s="1208"/>
      <c r="F41" s="1208"/>
      <c r="G41" s="1208"/>
      <c r="H41" s="1208"/>
      <c r="I41" s="1208"/>
      <c r="J41" s="1208"/>
      <c r="K41" s="1208"/>
      <c r="L41" s="1208"/>
      <c r="M41" s="899"/>
      <c r="N41" s="301"/>
      <c r="O41" s="1123"/>
    </row>
    <row r="42" spans="1:23" ht="15.75" x14ac:dyDescent="0.25">
      <c r="A42" s="301"/>
      <c r="B42" s="303"/>
      <c r="C42" s="300"/>
      <c r="D42" s="299"/>
      <c r="E42" s="303"/>
      <c r="F42" s="300"/>
      <c r="G42" s="174"/>
      <c r="H42" s="164"/>
      <c r="I42" s="174"/>
      <c r="J42" s="174"/>
      <c r="K42" s="174"/>
      <c r="L42" s="174"/>
      <c r="M42" s="174"/>
      <c r="N42" s="301"/>
      <c r="O42" s="1123"/>
    </row>
    <row r="43" spans="1:23" x14ac:dyDescent="0.25">
      <c r="A43" s="301"/>
      <c r="B43" s="302"/>
      <c r="C43" s="1"/>
      <c r="D43" s="1252" t="s">
        <v>286</v>
      </c>
      <c r="E43" s="1252"/>
      <c r="F43" s="1252"/>
      <c r="G43" s="1252"/>
      <c r="H43" s="897"/>
      <c r="I43" s="1252" t="s">
        <v>287</v>
      </c>
      <c r="J43" s="1252"/>
      <c r="K43" s="1252"/>
      <c r="L43" s="1252"/>
      <c r="M43" s="894"/>
      <c r="N43" s="301"/>
      <c r="O43" s="1123"/>
    </row>
    <row r="44" spans="1:23" x14ac:dyDescent="0.25">
      <c r="A44" s="301"/>
      <c r="B44" s="302"/>
      <c r="C44" s="1"/>
      <c r="D44" s="1209" t="s">
        <v>288</v>
      </c>
      <c r="E44" s="1209"/>
      <c r="F44" s="1209" t="s">
        <v>289</v>
      </c>
      <c r="G44" s="1209"/>
      <c r="H44" s="897"/>
      <c r="I44" s="1209" t="s">
        <v>288</v>
      </c>
      <c r="J44" s="1209"/>
      <c r="K44" s="1209" t="s">
        <v>289</v>
      </c>
      <c r="L44" s="1209"/>
      <c r="M44" s="164"/>
      <c r="N44" s="301"/>
      <c r="O44" s="1123"/>
    </row>
    <row r="45" spans="1:23" x14ac:dyDescent="0.25">
      <c r="A45" s="301"/>
      <c r="B45" s="302"/>
      <c r="C45" s="164" t="s">
        <v>304</v>
      </c>
      <c r="D45" s="164" t="s">
        <v>689</v>
      </c>
      <c r="E45" s="164" t="s">
        <v>690</v>
      </c>
      <c r="F45" s="618" t="s">
        <v>689</v>
      </c>
      <c r="G45" s="618" t="s">
        <v>690</v>
      </c>
      <c r="H45" s="897"/>
      <c r="I45" s="164" t="s">
        <v>689</v>
      </c>
      <c r="J45" s="164" t="s">
        <v>690</v>
      </c>
      <c r="K45" s="618" t="s">
        <v>689</v>
      </c>
      <c r="L45" s="618" t="s">
        <v>690</v>
      </c>
      <c r="M45" s="164"/>
      <c r="N45" s="301"/>
      <c r="O45" s="1123"/>
    </row>
    <row r="46" spans="1:23" x14ac:dyDescent="0.25">
      <c r="A46" s="301"/>
      <c r="B46" s="302"/>
      <c r="C46" s="443" t="s">
        <v>305</v>
      </c>
      <c r="D46" s="443"/>
      <c r="E46" s="443"/>
      <c r="F46" s="175">
        <f>F51*F15-F50*F14</f>
        <v>0</v>
      </c>
      <c r="G46" s="175">
        <f>G51*G15-G50*G14</f>
        <v>1440</v>
      </c>
      <c r="H46" s="909"/>
      <c r="I46" s="443"/>
      <c r="J46" s="443"/>
      <c r="K46" s="175">
        <f>K51*K15-K50*K14</f>
        <v>1440</v>
      </c>
      <c r="L46" s="175">
        <f>L51*L15-L50*L14</f>
        <v>0</v>
      </c>
      <c r="M46" s="901"/>
      <c r="N46" s="301"/>
      <c r="O46" s="1123"/>
    </row>
    <row r="47" spans="1:23" x14ac:dyDescent="0.25">
      <c r="A47" s="301"/>
      <c r="B47" s="302"/>
      <c r="C47" s="443" t="s">
        <v>306</v>
      </c>
      <c r="D47" s="175">
        <f>IF(F15=0, F46, F46*$D$23)</f>
        <v>0</v>
      </c>
      <c r="E47" s="175">
        <f>IF(G15=0, G46, G46*$D$23)</f>
        <v>1324.8</v>
      </c>
      <c r="F47" s="443"/>
      <c r="G47" s="443"/>
      <c r="H47" s="909"/>
      <c r="I47" s="175">
        <f>IF(K15=0, K46, K46*$D$23)</f>
        <v>1324.8</v>
      </c>
      <c r="J47" s="175">
        <f>IF(L15=0, L46, L46*$D$23)</f>
        <v>0</v>
      </c>
      <c r="K47" s="443"/>
      <c r="L47" s="443"/>
      <c r="M47" s="303"/>
      <c r="N47" s="301"/>
      <c r="O47" s="1123"/>
    </row>
    <row r="48" spans="1:23" x14ac:dyDescent="0.25">
      <c r="A48" s="301"/>
      <c r="B48" s="302"/>
      <c r="C48" s="443" t="s">
        <v>307</v>
      </c>
      <c r="D48" s="175">
        <f>D47/D14</f>
        <v>0</v>
      </c>
      <c r="E48" s="175">
        <f>E47/E14</f>
        <v>264.95999999999998</v>
      </c>
      <c r="F48" s="443"/>
      <c r="G48" s="443"/>
      <c r="H48" s="909"/>
      <c r="I48" s="175">
        <f>I47/I14</f>
        <v>264.95999999999998</v>
      </c>
      <c r="J48" s="175">
        <f>J47/J14</f>
        <v>0</v>
      </c>
      <c r="K48" s="443"/>
      <c r="L48" s="443"/>
      <c r="M48" s="303"/>
      <c r="N48" s="301"/>
      <c r="O48" s="1123"/>
    </row>
    <row r="49" spans="1:16" x14ac:dyDescent="0.25">
      <c r="A49" s="301"/>
      <c r="B49" s="302"/>
      <c r="C49" s="443" t="s">
        <v>308</v>
      </c>
      <c r="D49" s="175">
        <f>IF((D14*D16-D14*D33*D37)&gt;0, (D14*D16-D14*D33*D37), 0)</f>
        <v>0</v>
      </c>
      <c r="E49" s="175">
        <f>IF((E14*E16-E14*E33*E37)&gt;0, (E14*E16-E14*E33*E37), 0)</f>
        <v>1630</v>
      </c>
      <c r="F49" s="443"/>
      <c r="G49" s="443"/>
      <c r="H49" s="909"/>
      <c r="I49" s="175">
        <f>IF((I14*I16-I14*I33*I37)&gt;0, (I14*I16-I14*I33*I37), 0)</f>
        <v>1630</v>
      </c>
      <c r="J49" s="175">
        <f>IF((J14*J16-J14*J33*J37)&gt;0, (J14*J16-J14*J33*J37), 0)</f>
        <v>0</v>
      </c>
      <c r="K49" s="443"/>
      <c r="L49" s="443"/>
      <c r="M49" s="303"/>
      <c r="N49" s="301"/>
      <c r="O49" s="1123"/>
    </row>
    <row r="50" spans="1:16" x14ac:dyDescent="0.25">
      <c r="A50" s="301"/>
      <c r="B50" s="302"/>
      <c r="C50" s="443" t="s">
        <v>292</v>
      </c>
      <c r="D50" s="175">
        <f>D16</f>
        <v>800</v>
      </c>
      <c r="E50" s="175">
        <f>E16</f>
        <v>2000</v>
      </c>
      <c r="F50" s="175">
        <f>F16</f>
        <v>0</v>
      </c>
      <c r="G50" s="175">
        <f>G16</f>
        <v>0</v>
      </c>
      <c r="H50" s="909"/>
      <c r="I50" s="175">
        <f>I16</f>
        <v>2000</v>
      </c>
      <c r="J50" s="175">
        <f>J16</f>
        <v>1200</v>
      </c>
      <c r="K50" s="175">
        <f>K16</f>
        <v>0</v>
      </c>
      <c r="L50" s="175">
        <f>L16</f>
        <v>0</v>
      </c>
      <c r="M50" s="901"/>
      <c r="N50" s="301"/>
      <c r="O50" s="1123"/>
    </row>
    <row r="51" spans="1:16" x14ac:dyDescent="0.25">
      <c r="A51" s="301"/>
      <c r="B51" s="302"/>
      <c r="C51" s="443" t="s">
        <v>309</v>
      </c>
      <c r="D51" s="175">
        <f>D16-D48</f>
        <v>800</v>
      </c>
      <c r="E51" s="175">
        <f>E16-E48</f>
        <v>1735.04</v>
      </c>
      <c r="F51" s="175">
        <f>IF(F15=0, 0, MIN(F36*F34,F16+D49/F15))</f>
        <v>0</v>
      </c>
      <c r="G51" s="175">
        <f>IF(G15=0, 0, MIN(G36*G34,G16+E49/G15))</f>
        <v>1440</v>
      </c>
      <c r="H51" s="909"/>
      <c r="I51" s="175">
        <f>I16-I48</f>
        <v>1735.04</v>
      </c>
      <c r="J51" s="175">
        <f>J16-J48</f>
        <v>1200</v>
      </c>
      <c r="K51" s="175">
        <f>IF(K15=0, 0, MIN(K36*K34,K16+I49/K15))</f>
        <v>1440</v>
      </c>
      <c r="L51" s="175">
        <f>IF(L15=0, 0, MIN(L36*L34,L16+J49/L15))</f>
        <v>0</v>
      </c>
      <c r="M51" s="901"/>
      <c r="N51" s="301"/>
      <c r="O51" s="1123"/>
    </row>
    <row r="52" spans="1:16" x14ac:dyDescent="0.25">
      <c r="A52" s="301"/>
      <c r="B52" s="302"/>
      <c r="C52" s="443" t="s">
        <v>310</v>
      </c>
      <c r="D52" s="176">
        <f>IFERROR(D50/D33,0)</f>
        <v>0.44444444444444442</v>
      </c>
      <c r="E52" s="176">
        <f>IFERROR(E50/E33,0)</f>
        <v>1.1111111111111112</v>
      </c>
      <c r="F52" s="176">
        <f>IFERROR(F50/F33,0)</f>
        <v>0</v>
      </c>
      <c r="G52" s="176">
        <f>IFERROR(G50/G33,0)</f>
        <v>0</v>
      </c>
      <c r="H52" s="909"/>
      <c r="I52" s="176">
        <f>IFERROR(I50/I33,0)</f>
        <v>1.1111111111111112</v>
      </c>
      <c r="J52" s="176">
        <f>IFERROR(J50/J33,0)</f>
        <v>0.66666666666666663</v>
      </c>
      <c r="K52" s="176">
        <f>IFERROR(K50/K33,0)</f>
        <v>0</v>
      </c>
      <c r="L52" s="176">
        <f>IFERROR(L50/L33,0)</f>
        <v>0</v>
      </c>
      <c r="M52" s="902"/>
      <c r="N52" s="301"/>
      <c r="O52" s="1123"/>
    </row>
    <row r="53" spans="1:16" x14ac:dyDescent="0.25">
      <c r="A53" s="301"/>
      <c r="B53" s="302"/>
      <c r="C53" s="443" t="s">
        <v>311</v>
      </c>
      <c r="D53" s="176">
        <f>IFERROR(D51/D34, 0)</f>
        <v>0.44444444444444442</v>
      </c>
      <c r="E53" s="176">
        <f>IFERROR(E51/E34, 0)</f>
        <v>0.96391111111111105</v>
      </c>
      <c r="F53" s="176">
        <f>IFERROR(F51/F34, 0)</f>
        <v>0</v>
      </c>
      <c r="G53" s="176">
        <f>IFERROR(G51/G34, 0)</f>
        <v>0.9</v>
      </c>
      <c r="H53" s="909"/>
      <c r="I53" s="176">
        <f>IFERROR(I51/I34, 0)</f>
        <v>0.96391111111111105</v>
      </c>
      <c r="J53" s="176">
        <f>IFERROR(J51/J34, 0)</f>
        <v>0.66666666666666663</v>
      </c>
      <c r="K53" s="176">
        <f>IFERROR(K51/K34, 0)</f>
        <v>0.9</v>
      </c>
      <c r="L53" s="176">
        <f>IFERROR(L51/L34, 0)</f>
        <v>0</v>
      </c>
      <c r="M53" s="902"/>
      <c r="N53" s="301"/>
      <c r="O53" s="1123"/>
    </row>
    <row r="54" spans="1:16" x14ac:dyDescent="0.25">
      <c r="A54" s="301"/>
      <c r="B54" s="302"/>
      <c r="C54" s="443" t="s">
        <v>312</v>
      </c>
      <c r="D54" s="176">
        <f>$D$8/D35*60</f>
        <v>12.098360655737705</v>
      </c>
      <c r="E54" s="176">
        <f>$D$8/E35*60</f>
        <v>12.098360655737705</v>
      </c>
      <c r="F54" s="176">
        <f>$D$8/F35*60</f>
        <v>12.098360655737705</v>
      </c>
      <c r="G54" s="176">
        <f>$D$8/G35*60</f>
        <v>12.098360655737705</v>
      </c>
      <c r="H54" s="909"/>
      <c r="I54" s="176">
        <f>$D$8/I35*60</f>
        <v>12.098360655737705</v>
      </c>
      <c r="J54" s="176">
        <f>$D$8/J35*60</f>
        <v>12.098360655737705</v>
      </c>
      <c r="K54" s="176">
        <f>$D$8/K35*60</f>
        <v>12.098360655737705</v>
      </c>
      <c r="L54" s="176">
        <f>$D$8/L35*60</f>
        <v>12.098360655737705</v>
      </c>
      <c r="M54" s="902"/>
      <c r="N54" s="301"/>
      <c r="O54" s="1123"/>
    </row>
    <row r="55" spans="1:16" x14ac:dyDescent="0.25">
      <c r="A55" s="301"/>
      <c r="B55" s="302"/>
      <c r="C55" s="443" t="s">
        <v>313</v>
      </c>
      <c r="D55" s="176">
        <f>D54*(1+D31*(D52)^D32)</f>
        <v>13.338935762931474</v>
      </c>
      <c r="E55" s="176">
        <f>E54*(1+E31*(E52)^E32)</f>
        <v>45.688135581440939</v>
      </c>
      <c r="F55" s="176">
        <f>F54*(1+F31*(F52)^F32)</f>
        <v>12.098360655737705</v>
      </c>
      <c r="G55" s="176">
        <f>G54*(1+G31*(G52)^G32)</f>
        <v>12.098360655737705</v>
      </c>
      <c r="H55" s="909"/>
      <c r="I55" s="176">
        <f>I54*(1+I31*(I52)^I32)</f>
        <v>45.688135581440939</v>
      </c>
      <c r="J55" s="176">
        <f>J54*(1+J31*(J52)^J32)</f>
        <v>17.438487772949919</v>
      </c>
      <c r="K55" s="176">
        <f>K54*(1+K31*(K52)^K32)</f>
        <v>12.098360655737705</v>
      </c>
      <c r="L55" s="176">
        <f>L54*(1+L31*(L52)^L32)</f>
        <v>12.098360655737705</v>
      </c>
      <c r="M55" s="902"/>
      <c r="N55" s="301"/>
      <c r="O55" s="1123"/>
    </row>
    <row r="56" spans="1:16" x14ac:dyDescent="0.25">
      <c r="A56" s="301"/>
      <c r="B56" s="302"/>
      <c r="C56" s="443" t="s">
        <v>314</v>
      </c>
      <c r="D56" s="176">
        <f>D54*(1+D31*(D53)^D32)</f>
        <v>13.338935762931474</v>
      </c>
      <c r="E56" s="176">
        <f>E54*(1+E31*(E53)^E32)</f>
        <v>32.236218881810778</v>
      </c>
      <c r="F56" s="176">
        <f>F54*(1+F31*(F53)^F32)</f>
        <v>12.098360655737705</v>
      </c>
      <c r="G56" s="176">
        <f>G54*(1+G31*(G53)^G32)</f>
        <v>27.829245857469619</v>
      </c>
      <c r="H56" s="909"/>
      <c r="I56" s="176">
        <f>I54*(1+I31*(I53)^I32)</f>
        <v>32.236218881810778</v>
      </c>
      <c r="J56" s="176">
        <f>J54*(1+J31*(J53)^J32)</f>
        <v>17.438487772949919</v>
      </c>
      <c r="K56" s="176">
        <f>K54*(1+K31*(K53)^K32)</f>
        <v>27.829245857469619</v>
      </c>
      <c r="L56" s="176">
        <f>L54*(1+L31*(L53)^L32)</f>
        <v>12.098360655737705</v>
      </c>
      <c r="M56" s="902"/>
      <c r="N56" s="301"/>
      <c r="P56" s="927"/>
    </row>
    <row r="57" spans="1:16" x14ac:dyDescent="0.25">
      <c r="A57" s="301"/>
      <c r="B57" s="302"/>
      <c r="C57" s="443" t="s">
        <v>449</v>
      </c>
      <c r="D57" s="176">
        <f t="shared" ref="D57:F57" si="0">$D$8/(D55/60)</f>
        <v>55.326752682240304</v>
      </c>
      <c r="E57" s="176">
        <f t="shared" si="0"/>
        <v>16.152990062036682</v>
      </c>
      <c r="F57" s="176">
        <f t="shared" si="0"/>
        <v>61</v>
      </c>
      <c r="G57" s="176">
        <f>$D$8/(G55/60)</f>
        <v>61</v>
      </c>
      <c r="H57" s="909"/>
      <c r="I57" s="176">
        <f t="shared" ref="I57:L57" si="1">$D$8/(I55/60)</f>
        <v>16.152990062036682</v>
      </c>
      <c r="J57" s="176">
        <f t="shared" si="1"/>
        <v>42.320183355850638</v>
      </c>
      <c r="K57" s="176">
        <f t="shared" si="1"/>
        <v>61</v>
      </c>
      <c r="L57" s="176">
        <f t="shared" si="1"/>
        <v>61</v>
      </c>
      <c r="M57" s="902"/>
      <c r="N57" s="301"/>
      <c r="O57" s="1123"/>
      <c r="P57" s="927"/>
    </row>
    <row r="58" spans="1:16" x14ac:dyDescent="0.25">
      <c r="A58" s="301"/>
      <c r="B58" s="302"/>
      <c r="C58" s="443" t="s">
        <v>450</v>
      </c>
      <c r="D58" s="176">
        <f>$D$8/(D56/60)</f>
        <v>55.326752682240304</v>
      </c>
      <c r="E58" s="176">
        <f>$D$8/(E56/60)</f>
        <v>22.893503816491801</v>
      </c>
      <c r="F58" s="176">
        <f>$D$8/(F56/60)</f>
        <v>61</v>
      </c>
      <c r="G58" s="176">
        <f>$D$8/(G56/60)</f>
        <v>26.518864498870862</v>
      </c>
      <c r="H58" s="909"/>
      <c r="I58" s="176">
        <f>$D$8/(I56/60)</f>
        <v>22.893503816491801</v>
      </c>
      <c r="J58" s="176">
        <f>$D$8/(J56/60)</f>
        <v>42.320183355850638</v>
      </c>
      <c r="K58" s="176">
        <f>$D$8/(K56/60)</f>
        <v>26.518864498870862</v>
      </c>
      <c r="L58" s="176">
        <f>$D$8/(L56/60)</f>
        <v>61</v>
      </c>
      <c r="M58" s="902"/>
      <c r="N58" s="301"/>
      <c r="O58" s="1123"/>
      <c r="P58" s="927"/>
    </row>
    <row r="59" spans="1:16" hidden="1" x14ac:dyDescent="0.25">
      <c r="A59" s="301"/>
      <c r="B59" s="302"/>
      <c r="C59" s="591" t="s">
        <v>466</v>
      </c>
      <c r="D59" s="392"/>
      <c r="E59" s="392"/>
      <c r="F59" s="392"/>
      <c r="G59" s="392"/>
      <c r="H59" s="897"/>
      <c r="I59" s="392"/>
      <c r="J59" s="392"/>
      <c r="K59" s="392"/>
      <c r="L59" s="392"/>
      <c r="M59" s="392"/>
      <c r="N59" s="301"/>
      <c r="O59" s="1123"/>
      <c r="P59" s="927"/>
    </row>
    <row r="60" spans="1:16" hidden="1" x14ac:dyDescent="0.25">
      <c r="A60" s="301"/>
      <c r="B60" s="302"/>
      <c r="C60" s="359" t="s">
        <v>348</v>
      </c>
      <c r="D60" s="176">
        <f>LOOKUP(ROUNDDOWN(D$57/5, 0)*5,'2010ER'!$D$4:$D$19,'2010ER'!$G$4:$G$19)+((D$57-ROUNDDOWN(D$57/5, 0)*5)/5)*(LOOKUP(ROUNDUP(D$57/5, 0)*5,'2010ER'!$D$4:$D$19,'2010ER'!$G$4:$G$19)-LOOKUP(ROUNDDOWN(D$57/5, 0)*5,'2010ER'!$D$4:$D$19,'2010ER'!$G$4:$G$19))</f>
        <v>370.28253664638061</v>
      </c>
      <c r="E60" s="176">
        <f>LOOKUP(ROUNDDOWN(E$57/5, 0)*5,'2010ER'!$D$4:$D$19,'2010ER'!$G$4:$G$19)+((E$57-ROUNDDOWN(E$57/5, 0)*5)/5)*(LOOKUP(ROUNDUP(E$57/5, 0)*5,'2010ER'!$D$4:$D$19,'2010ER'!$G$4:$G$19)-LOOKUP(ROUNDDOWN(E$57/5, 0)*5,'2010ER'!$D$4:$D$19,'2010ER'!$G$4:$G$19))</f>
        <v>568.42575382354107</v>
      </c>
      <c r="F60" s="176">
        <f>LOOKUP(ROUNDDOWN(F$57/5, 0)*5,'2010ER'!$D$4:$D$19,'2010ER'!$G$4:$G$19)+((F$57-ROUNDDOWN(F$57/5, 0)*5)/5)*(LOOKUP(ROUNDUP(F$57/5, 0)*5,'2010ER'!$D$4:$D$19,'2010ER'!$G$4:$G$19)-LOOKUP(ROUNDDOWN(F$57/5, 0)*5,'2010ER'!$D$4:$D$19,'2010ER'!$G$4:$G$19))</f>
        <v>365.72681510199982</v>
      </c>
      <c r="G60" s="176">
        <f>LOOKUP(ROUNDDOWN(G$57/5, 0)*5,'2010ER'!$D$4:$D$19,'2010ER'!$G$4:$G$19)+((G$57-ROUNDDOWN(G$57/5, 0)*5)/5)*(LOOKUP(ROUNDUP(G$57/5, 0)*5,'2010ER'!$D$4:$D$19,'2010ER'!$G$4:$G$19)-LOOKUP(ROUNDDOWN(G$57/5, 0)*5,'2010ER'!$D$4:$D$19,'2010ER'!$G$4:$G$19))</f>
        <v>365.72681510199982</v>
      </c>
      <c r="H60" s="909"/>
      <c r="I60" s="176">
        <f>LOOKUP(ROUNDDOWN(I$57/5, 0)*5,'2010ER'!$D$4:$D$19,'2010ER'!$G$4:$G$19)+((I$57-ROUNDDOWN(I$57/5, 0)*5)/5)*(LOOKUP(ROUNDUP(I$57/5, 0)*5,'2010ER'!$D$4:$D$19,'2010ER'!$G$4:$G$19)-LOOKUP(ROUNDDOWN(I$57/5, 0)*5,'2010ER'!$D$4:$D$19,'2010ER'!$G$4:$G$19))</f>
        <v>568.42575382354107</v>
      </c>
      <c r="J60" s="176">
        <f>LOOKUP(ROUNDDOWN(J$57/5, 0)*5,'2010ER'!$D$4:$D$19,'2010ER'!$G$4:$G$19)+((J$57-ROUNDDOWN(J$57/5, 0)*5)/5)*(LOOKUP(ROUNDUP(J$57/5, 0)*5,'2010ER'!$D$4:$D$19,'2010ER'!$G$4:$G$19)-LOOKUP(ROUNDDOWN(J$57/5, 0)*5,'2010ER'!$D$4:$D$19,'2010ER'!$G$4:$G$19))</f>
        <v>392.99632317440478</v>
      </c>
      <c r="K60" s="176">
        <f>LOOKUP(ROUNDDOWN(K$57/5, 0)*5,'2010ER'!$D$4:$D$19,'2010ER'!$G$4:$G$19)+((K$57-ROUNDDOWN(K$57/5, 0)*5)/5)*(LOOKUP(ROUNDUP(K$57/5, 0)*5,'2010ER'!$D$4:$D$19,'2010ER'!$G$4:$G$19)-LOOKUP(ROUNDDOWN(K$57/5, 0)*5,'2010ER'!$D$4:$D$19,'2010ER'!$G$4:$G$19))</f>
        <v>365.72681510199982</v>
      </c>
      <c r="L60" s="176">
        <f>LOOKUP(ROUNDDOWN(L$57/5, 0)*5,'2010ER'!$D$4:$D$19,'2010ER'!$G$4:$G$19)+((L$57-ROUNDDOWN(L$57/5, 0)*5)/5)*(LOOKUP(ROUNDUP(L$57/5, 0)*5,'2010ER'!$D$4:$D$19,'2010ER'!$G$4:$G$19)-LOOKUP(ROUNDDOWN(L$57/5, 0)*5,'2010ER'!$D$4:$D$19,'2010ER'!$G$4:$G$19))</f>
        <v>365.72681510199982</v>
      </c>
      <c r="M60" s="902"/>
      <c r="N60" s="301"/>
      <c r="O60" s="1156"/>
      <c r="P60" s="927"/>
    </row>
    <row r="61" spans="1:16" hidden="1" x14ac:dyDescent="0.25">
      <c r="A61" s="301"/>
      <c r="B61" s="302"/>
      <c r="C61" s="359" t="s">
        <v>351</v>
      </c>
      <c r="D61" s="176">
        <f>LOOKUP(ROUNDDOWN(D$57/5, 0)*5,'2010ER'!$D$20:$D$35,'2010ER'!$G$20:$G$35)+((D$57-ROUNDDOWN(D$57/5, 0)*5)/5)*(LOOKUP(ROUNDUP(D$57/5, 0)*5,'2010ER'!$D$20:$D$35,'2010ER'!$G$20:$G$35)-LOOKUP(ROUNDDOWN(D$57/5, 0)*5,'2010ER'!$D$20:$D$35,'2010ER'!$G$20:$G$35))</f>
        <v>0.68852658353051499</v>
      </c>
      <c r="E61" s="176">
        <f>LOOKUP(ROUNDDOWN(E$57/5, 0)*5,'2010ER'!$D$20:$D$35,'2010ER'!$G$20:$G$35)+((E$57-ROUNDDOWN(E$57/5, 0)*5)/5)*(LOOKUP(ROUNDUP(E$57/5, 0)*5,'2010ER'!$D$20:$D$35,'2010ER'!$G$20:$G$35)-LOOKUP(ROUNDDOWN(E$57/5, 0)*5,'2010ER'!$D$20:$D$35,'2010ER'!$G$20:$G$35))</f>
        <v>0.74241882425557892</v>
      </c>
      <c r="F61" s="176">
        <f>LOOKUP(ROUNDDOWN(F$57/5, 0)*5,'2010ER'!$D$20:$D$35,'2010ER'!$G$20:$G$35)+((F$57-ROUNDDOWN(F$57/5, 0)*5)/5)*(LOOKUP(ROUNDUP(F$57/5, 0)*5,'2010ER'!$D$20:$D$35,'2010ER'!$G$20:$G$35)-LOOKUP(ROUNDDOWN(F$57/5, 0)*5,'2010ER'!$D$20:$D$35,'2010ER'!$G$20:$G$35))</f>
        <v>0.69519794224842679</v>
      </c>
      <c r="G61" s="176">
        <f>LOOKUP(ROUNDDOWN(G$57/5, 0)*5,'2010ER'!$D$20:$D$35,'2010ER'!$G$20:$G$35)+((G$57-ROUNDDOWN(G$57/5, 0)*5)/5)*(LOOKUP(ROUNDUP(G$57/5, 0)*5,'2010ER'!$D$20:$D$35,'2010ER'!$G$20:$G$35)-LOOKUP(ROUNDDOWN(G$57/5, 0)*5,'2010ER'!$D$20:$D$35,'2010ER'!$G$20:$G$35))</f>
        <v>0.69519794224842679</v>
      </c>
      <c r="H61" s="909"/>
      <c r="I61" s="176">
        <f>LOOKUP(ROUNDDOWN(I$57/5, 0)*5,'2010ER'!$D$20:$D$35,'2010ER'!$G$20:$G$35)+((I$57-ROUNDDOWN(I$57/5, 0)*5)/5)*(LOOKUP(ROUNDUP(I$57/5, 0)*5,'2010ER'!$D$20:$D$35,'2010ER'!$G$20:$G$35)-LOOKUP(ROUNDDOWN(I$57/5, 0)*5,'2010ER'!$D$20:$D$35,'2010ER'!$G$20:$G$35))</f>
        <v>0.74241882425557892</v>
      </c>
      <c r="J61" s="176">
        <f>LOOKUP(ROUNDDOWN(J$57/5, 0)*5,'2010ER'!$D$20:$D$35,'2010ER'!$G$20:$G$35)+((J$57-ROUNDDOWN(J$57/5, 0)*5)/5)*(LOOKUP(ROUNDUP(J$57/5, 0)*5,'2010ER'!$D$20:$D$35,'2010ER'!$G$20:$G$35)-LOOKUP(ROUNDDOWN(J$57/5, 0)*5,'2010ER'!$D$20:$D$35,'2010ER'!$G$20:$G$35))</f>
        <v>0.68653874178380525</v>
      </c>
      <c r="K61" s="176">
        <f>LOOKUP(ROUNDDOWN(K$57/5, 0)*5,'2010ER'!$D$20:$D$35,'2010ER'!$G$20:$G$35)+((K$57-ROUNDDOWN(K$57/5, 0)*5)/5)*(LOOKUP(ROUNDUP(K$57/5, 0)*5,'2010ER'!$D$20:$D$35,'2010ER'!$G$20:$G$35)-LOOKUP(ROUNDDOWN(K$57/5, 0)*5,'2010ER'!$D$20:$D$35,'2010ER'!$G$20:$G$35))</f>
        <v>0.69519794224842679</v>
      </c>
      <c r="L61" s="176">
        <f>LOOKUP(ROUNDDOWN(L$57/5, 0)*5,'2010ER'!$D$20:$D$35,'2010ER'!$G$20:$G$35)+((L$57-ROUNDDOWN(L$57/5, 0)*5)/5)*(LOOKUP(ROUNDUP(L$57/5, 0)*5,'2010ER'!$D$20:$D$35,'2010ER'!$G$20:$G$35)-LOOKUP(ROUNDDOWN(L$57/5, 0)*5,'2010ER'!$D$20:$D$35,'2010ER'!$G$20:$G$35))</f>
        <v>0.69519794224842679</v>
      </c>
      <c r="M61" s="902"/>
      <c r="N61" s="301"/>
      <c r="O61" s="1156"/>
      <c r="P61" s="927"/>
    </row>
    <row r="62" spans="1:16" hidden="1" x14ac:dyDescent="0.25">
      <c r="A62" s="301"/>
      <c r="B62" s="302"/>
      <c r="C62" s="359" t="s">
        <v>377</v>
      </c>
      <c r="D62" s="176">
        <f>LOOKUP(ROUNDDOWN(D$57/5, 0)*5,'2010ER'!$D$36:$D$51,'2010ER'!$G$36:$G$51)+((D$57-ROUNDDOWN(D$57/5, 0)*5)/5)*(LOOKUP(ROUNDUP(D$57/5, 0)*5,'2010ER'!$D$36:$D$51,'2010ER'!$G$36:$G$51)-LOOKUP(ROUNDDOWN(D$57/5, 0)*5,'2010ER'!$D$36:$D$51,'2010ER'!$G$36:$G$51))</f>
        <v>1.8367445672899167E-2</v>
      </c>
      <c r="E62" s="176">
        <f>LOOKUP(ROUNDDOWN(E$57/5, 0)*5,'2010ER'!$D$36:$D$51,'2010ER'!$G$36:$G$51)+((E$57-ROUNDDOWN(E$57/5, 0)*5)/5)*(LOOKUP(ROUNDUP(E$57/5, 0)*5,'2010ER'!$D$36:$D$51,'2010ER'!$G$36:$G$51)-LOOKUP(ROUNDDOWN(E$57/5, 0)*5,'2010ER'!$D$36:$D$51,'2010ER'!$G$36:$G$51))</f>
        <v>3.1734105643593698E-2</v>
      </c>
      <c r="F62" s="176">
        <f>LOOKUP(ROUNDDOWN(F$57/5, 0)*5,'2010ER'!$D$36:$D$51,'2010ER'!$G$36:$G$51)+((F$57-ROUNDDOWN(F$57/5, 0)*5)/5)*(LOOKUP(ROUNDUP(F$57/5, 0)*5,'2010ER'!$D$36:$D$51,'2010ER'!$G$36:$G$51)-LOOKUP(ROUNDDOWN(F$57/5, 0)*5,'2010ER'!$D$36:$D$51,'2010ER'!$G$36:$G$51))</f>
        <v>1.6959057219478268E-2</v>
      </c>
      <c r="G62" s="176">
        <f>LOOKUP(ROUNDDOWN(G$57/5, 0)*5,'2010ER'!$D$36:$D$51,'2010ER'!$G$36:$G$51)+((G$57-ROUNDDOWN(G$57/5, 0)*5)/5)*(LOOKUP(ROUNDUP(G$57/5, 0)*5,'2010ER'!$D$36:$D$51,'2010ER'!$G$36:$G$51)-LOOKUP(ROUNDDOWN(G$57/5, 0)*5,'2010ER'!$D$36:$D$51,'2010ER'!$G$36:$G$51))</f>
        <v>1.6959057219478268E-2</v>
      </c>
      <c r="H62" s="909"/>
      <c r="I62" s="176">
        <f>LOOKUP(ROUNDDOWN(I$57/5, 0)*5,'2010ER'!$D$36:$D$51,'2010ER'!$G$36:$G$51)+((I$57-ROUNDDOWN(I$57/5, 0)*5)/5)*(LOOKUP(ROUNDUP(I$57/5, 0)*5,'2010ER'!$D$36:$D$51,'2010ER'!$G$36:$G$51)-LOOKUP(ROUNDDOWN(I$57/5, 0)*5,'2010ER'!$D$36:$D$51,'2010ER'!$G$36:$G$51))</f>
        <v>3.1734105643593698E-2</v>
      </c>
      <c r="J62" s="176">
        <f>LOOKUP(ROUNDDOWN(J$57/5, 0)*5,'2010ER'!$D$36:$D$51,'2010ER'!$G$36:$G$51)+((J$57-ROUNDDOWN(J$57/5, 0)*5)/5)*(LOOKUP(ROUNDUP(J$57/5, 0)*5,'2010ER'!$D$36:$D$51,'2010ER'!$G$36:$G$51)-LOOKUP(ROUNDDOWN(J$57/5, 0)*5,'2010ER'!$D$36:$D$51,'2010ER'!$G$36:$G$51))</f>
        <v>2.136515727709077E-2</v>
      </c>
      <c r="K62" s="176">
        <f>LOOKUP(ROUNDDOWN(K$57/5, 0)*5,'2010ER'!$D$36:$D$51,'2010ER'!$G$36:$G$51)+((K$57-ROUNDDOWN(K$57/5, 0)*5)/5)*(LOOKUP(ROUNDUP(K$57/5, 0)*5,'2010ER'!$D$36:$D$51,'2010ER'!$G$36:$G$51)-LOOKUP(ROUNDDOWN(K$57/5, 0)*5,'2010ER'!$D$36:$D$51,'2010ER'!$G$36:$G$51))</f>
        <v>1.6959057219478268E-2</v>
      </c>
      <c r="L62" s="176">
        <f>LOOKUP(ROUNDDOWN(L$57/5, 0)*5,'2010ER'!$D$36:$D$51,'2010ER'!$G$36:$G$51)+((L$57-ROUNDDOWN(L$57/5, 0)*5)/5)*(LOOKUP(ROUNDUP(L$57/5, 0)*5,'2010ER'!$D$36:$D$51,'2010ER'!$G$36:$G$51)-LOOKUP(ROUNDDOWN(L$57/5, 0)*5,'2010ER'!$D$36:$D$51,'2010ER'!$G$36:$G$51))</f>
        <v>1.6959057219478268E-2</v>
      </c>
      <c r="M62" s="902"/>
      <c r="N62" s="301"/>
      <c r="O62" s="1156"/>
      <c r="P62" s="1156"/>
    </row>
    <row r="63" spans="1:16" hidden="1" x14ac:dyDescent="0.25">
      <c r="A63" s="301"/>
      <c r="B63" s="302"/>
      <c r="C63" s="359" t="s">
        <v>426</v>
      </c>
      <c r="D63" s="176">
        <f>LOOKUP(ROUNDDOWN(D$57/5, 0)*5,'2010ER'!$D$52:$D$67,'2010ER'!$G$52:$G$67)+((D$57-ROUNDDOWN(D$57/5, 0)*5)/5)*(LOOKUP(ROUNDUP(D$57/5, 0)*5,'2010ER'!$D$52:$D$67,'2010ER'!$G$52:$G$67)-LOOKUP(ROUNDDOWN(D$57/5, 0)*5,'2010ER'!$D$52:$D$67,'2010ER'!$G$52:$G$67))</f>
        <v>0.6611373200560885</v>
      </c>
      <c r="E63" s="176">
        <f>LOOKUP(ROUNDDOWN(E$57/5, 0)*5,'2010ER'!$D$52:$D$67,'2010ER'!$G$52:$G$67)+((E$57-ROUNDDOWN(E$57/5, 0)*5)/5)*(LOOKUP(ROUNDUP(E$57/5, 0)*5,'2010ER'!$D$52:$D$67,'2010ER'!$G$52:$G$67)-LOOKUP(ROUNDDOWN(E$57/5, 0)*5,'2010ER'!$D$52:$D$67,'2010ER'!$G$52:$G$67))</f>
        <v>0.80779644247773674</v>
      </c>
      <c r="F63" s="176">
        <f>LOOKUP(ROUNDDOWN(F$57/5, 0)*5,'2010ER'!$D$52:$D$67,'2010ER'!$G$52:$G$67)+((F$57-ROUNDDOWN(F$57/5, 0)*5)/5)*(LOOKUP(ROUNDUP(F$57/5, 0)*5,'2010ER'!$D$52:$D$67,'2010ER'!$G$52:$G$67)-LOOKUP(ROUNDDOWN(F$57/5, 0)*5,'2010ER'!$D$52:$D$67,'2010ER'!$G$52:$G$67))</f>
        <v>0.66446221366311387</v>
      </c>
      <c r="G63" s="176">
        <f>LOOKUP(ROUNDDOWN(G$57/5, 0)*5,'2010ER'!$D$52:$D$67,'2010ER'!$G$52:$G$67)+((G$57-ROUNDDOWN(G$57/5, 0)*5)/5)*(LOOKUP(ROUNDUP(G$57/5, 0)*5,'2010ER'!$D$52:$D$67,'2010ER'!$G$52:$G$67)-LOOKUP(ROUNDDOWN(G$57/5, 0)*5,'2010ER'!$D$52:$D$67,'2010ER'!$G$52:$G$67))</f>
        <v>0.66446221366311387</v>
      </c>
      <c r="H63" s="909"/>
      <c r="I63" s="176">
        <f>LOOKUP(ROUNDDOWN(I$57/5, 0)*5,'2010ER'!$D$52:$D$67,'2010ER'!$G$52:$G$67)+((I$57-ROUNDDOWN(I$57/5, 0)*5)/5)*(LOOKUP(ROUNDUP(I$57/5, 0)*5,'2010ER'!$D$52:$D$67,'2010ER'!$G$52:$G$67)-LOOKUP(ROUNDDOWN(I$57/5, 0)*5,'2010ER'!$D$52:$D$67,'2010ER'!$G$52:$G$67))</f>
        <v>0.80779644247773674</v>
      </c>
      <c r="J63" s="176">
        <f>LOOKUP(ROUNDDOWN(J$57/5, 0)*5,'2010ER'!$D$52:$D$67,'2010ER'!$G$52:$G$67)+((J$57-ROUNDDOWN(J$57/5, 0)*5)/5)*(LOOKUP(ROUNDUP(J$57/5, 0)*5,'2010ER'!$D$52:$D$67,'2010ER'!$G$52:$G$67)-LOOKUP(ROUNDDOWN(J$57/5, 0)*5,'2010ER'!$D$52:$D$67,'2010ER'!$G$52:$G$67))</f>
        <v>0.66396318032303325</v>
      </c>
      <c r="K63" s="176">
        <f>LOOKUP(ROUNDDOWN(K$57/5, 0)*5,'2010ER'!$D$52:$D$67,'2010ER'!$G$52:$G$67)+((K$57-ROUNDDOWN(K$57/5, 0)*5)/5)*(LOOKUP(ROUNDUP(K$57/5, 0)*5,'2010ER'!$D$52:$D$67,'2010ER'!$G$52:$G$67)-LOOKUP(ROUNDDOWN(K$57/5, 0)*5,'2010ER'!$D$52:$D$67,'2010ER'!$G$52:$G$67))</f>
        <v>0.66446221366311387</v>
      </c>
      <c r="L63" s="176">
        <f>LOOKUP(ROUNDDOWN(L$57/5, 0)*5,'2010ER'!$D$52:$D$67,'2010ER'!$G$52:$G$67)+((L$57-ROUNDDOWN(L$57/5, 0)*5)/5)*(LOOKUP(ROUNDUP(L$57/5, 0)*5,'2010ER'!$D$52:$D$67,'2010ER'!$G$52:$G$67)-LOOKUP(ROUNDDOWN(L$57/5, 0)*5,'2010ER'!$D$52:$D$67,'2010ER'!$G$52:$G$67))</f>
        <v>0.66446221366311387</v>
      </c>
      <c r="M63" s="902"/>
      <c r="N63" s="301"/>
      <c r="O63" s="1156"/>
      <c r="P63" s="927"/>
    </row>
    <row r="64" spans="1:16" hidden="1" x14ac:dyDescent="0.25">
      <c r="A64" s="301"/>
      <c r="B64" s="302"/>
      <c r="C64" s="359" t="s">
        <v>424</v>
      </c>
      <c r="D64" s="176">
        <f>LOOKUP(ROUNDDOWN(D$57/5, 0)*5,'2010ER'!$D$68:$D$83,'2010ER'!$G$68:$G$83)+((D$57-ROUNDDOWN(D$57/5, 0)*5)/5)*(LOOKUP(ROUNDUP(D$57/5, 0)*5,'2010ER'!$D$68:$D$83,'2010ER'!$G$68:$G$83)-LOOKUP(ROUNDDOWN(D$57/5, 0)*5,'2010ER'!$D$68:$D$83,'2010ER'!$G$68:$G$83))</f>
        <v>0.19711068690429528</v>
      </c>
      <c r="E64" s="176">
        <f>LOOKUP(ROUNDDOWN(E$57/5, 0)*5,'2010ER'!$D$68:$D$83,'2010ER'!$G$68:$G$83)+((E$57-ROUNDDOWN(E$57/5, 0)*5)/5)*(LOOKUP(ROUNDUP(E$57/5, 0)*5,'2010ER'!$D$68:$D$83,'2010ER'!$G$68:$G$83)-LOOKUP(ROUNDDOWN(E$57/5, 0)*5,'2010ER'!$D$68:$D$83,'2010ER'!$G$68:$G$83))</f>
        <v>0.43640895538519975</v>
      </c>
      <c r="F64" s="176">
        <f>LOOKUP(ROUNDDOWN(F$57/5, 0)*5,'2010ER'!$D$68:$D$83,'2010ER'!$G$68:$G$83)+((F$57-ROUNDDOWN(F$57/5, 0)*5)/5)*(LOOKUP(ROUNDUP(F$57/5, 0)*5,'2010ER'!$D$68:$D$83,'2010ER'!$G$68:$G$83)-LOOKUP(ROUNDDOWN(F$57/5, 0)*5,'2010ER'!$D$68:$D$83,'2010ER'!$G$68:$G$83))</f>
        <v>0.18672739862933579</v>
      </c>
      <c r="G64" s="176">
        <f>LOOKUP(ROUNDDOWN(G$57/5, 0)*5,'2010ER'!$D$68:$D$83,'2010ER'!$G$68:$G$83)+((G$57-ROUNDDOWN(G$57/5, 0)*5)/5)*(LOOKUP(ROUNDUP(G$57/5, 0)*5,'2010ER'!$D$68:$D$83,'2010ER'!$G$68:$G$83)-LOOKUP(ROUNDDOWN(G$57/5, 0)*5,'2010ER'!$D$68:$D$83,'2010ER'!$G$68:$G$83))</f>
        <v>0.18672739862933579</v>
      </c>
      <c r="H64" s="909"/>
      <c r="I64" s="176">
        <f>LOOKUP(ROUNDDOWN(I$57/5, 0)*5,'2010ER'!$D$68:$D$83,'2010ER'!$G$68:$G$83)+((I$57-ROUNDDOWN(I$57/5, 0)*5)/5)*(LOOKUP(ROUNDUP(I$57/5, 0)*5,'2010ER'!$D$68:$D$83,'2010ER'!$G$68:$G$83)-LOOKUP(ROUNDDOWN(I$57/5, 0)*5,'2010ER'!$D$68:$D$83,'2010ER'!$G$68:$G$83))</f>
        <v>0.43640895538519975</v>
      </c>
      <c r="J64" s="176">
        <f>LOOKUP(ROUNDDOWN(J$57/5, 0)*5,'2010ER'!$D$68:$D$83,'2010ER'!$G$68:$G$83)+((J$57-ROUNDDOWN(J$57/5, 0)*5)/5)*(LOOKUP(ROUNDUP(J$57/5, 0)*5,'2010ER'!$D$68:$D$83,'2010ER'!$G$68:$G$83)-LOOKUP(ROUNDDOWN(J$57/5, 0)*5,'2010ER'!$D$68:$D$83,'2010ER'!$G$68:$G$83))</f>
        <v>0.22963036782356355</v>
      </c>
      <c r="K64" s="176">
        <f>LOOKUP(ROUNDDOWN(K$57/5, 0)*5,'2010ER'!$D$68:$D$83,'2010ER'!$G$68:$G$83)+((K$57-ROUNDDOWN(K$57/5, 0)*5)/5)*(LOOKUP(ROUNDUP(K$57/5, 0)*5,'2010ER'!$D$68:$D$83,'2010ER'!$G$68:$G$83)-LOOKUP(ROUNDDOWN(K$57/5, 0)*5,'2010ER'!$D$68:$D$83,'2010ER'!$G$68:$G$83))</f>
        <v>0.18672739862933579</v>
      </c>
      <c r="L64" s="176">
        <f>LOOKUP(ROUNDDOWN(L$57/5, 0)*5,'2010ER'!$D$68:$D$83,'2010ER'!$G$68:$G$83)+((L$57-ROUNDDOWN(L$57/5, 0)*5)/5)*(LOOKUP(ROUNDUP(L$57/5, 0)*5,'2010ER'!$D$68:$D$83,'2010ER'!$G$68:$G$83)-LOOKUP(ROUNDDOWN(L$57/5, 0)*5,'2010ER'!$D$68:$D$83,'2010ER'!$G$68:$G$83))</f>
        <v>0.18672739862933579</v>
      </c>
      <c r="M64" s="902"/>
      <c r="N64" s="301"/>
      <c r="O64" s="1156"/>
      <c r="P64" s="927"/>
    </row>
    <row r="65" spans="1:16" hidden="1" x14ac:dyDescent="0.25">
      <c r="A65" s="301"/>
      <c r="B65" s="302"/>
      <c r="C65" s="359" t="s">
        <v>451</v>
      </c>
      <c r="D65" s="176">
        <f>LOOKUP(ROUNDDOWN(D$57/5, 0)*5,'2010ER'!$D$4:$D$19,'2010ER'!$L$4:$L$19)+((D$57-ROUNDDOWN(D$57/5, 0)*5)/5)*(LOOKUP(ROUNDUP(D$57/5, 0)*5,'2010ER'!$D$4:$D$19,'2010ER'!$L$4:$L$19)-LOOKUP(ROUNDDOWN(D$57/5, 0)*5,'2010ER'!$D$4:$D$19,'2010ER'!$L$4:$L$19))</f>
        <v>1224.1791357614802</v>
      </c>
      <c r="E65" s="176">
        <f>LOOKUP(ROUNDDOWN(E$57/5, 0)*5,'2010ER'!$D$4:$D$19,'2010ER'!$L$4:$L$19)+((E$57-ROUNDDOWN(E$57/5, 0)*5)/5)*(LOOKUP(ROUNDUP(E$57/5, 0)*5,'2010ER'!$D$4:$D$19,'2010ER'!$L$4:$L$19)-LOOKUP(ROUNDDOWN(E$57/5, 0)*5,'2010ER'!$D$4:$D$19,'2010ER'!$L$4:$L$19))</f>
        <v>2034.6633547941401</v>
      </c>
      <c r="F65" s="176">
        <f>LOOKUP(ROUNDDOWN(F$57/5, 0)*5,'2010ER'!$D$4:$D$19,'2010ER'!$L$4:$L$19)+((F$57-ROUNDDOWN(F$57/5, 0)*5)/5)*(LOOKUP(ROUNDUP(F$57/5, 0)*5,'2010ER'!$D$4:$D$19,'2010ER'!$L$4:$L$19)-LOOKUP(ROUNDDOWN(F$57/5, 0)*5,'2010ER'!$D$4:$D$19,'2010ER'!$L$4:$L$19))</f>
        <v>1216.133438523002</v>
      </c>
      <c r="G65" s="176">
        <f>LOOKUP(ROUNDDOWN(G$57/5, 0)*5,'2010ER'!$D$4:$D$19,'2010ER'!$L$4:$L$19)+((G$57-ROUNDDOWN(G$57/5, 0)*5)/5)*(LOOKUP(ROUNDUP(G$57/5, 0)*5,'2010ER'!$D$4:$D$19,'2010ER'!$L$4:$L$19)-LOOKUP(ROUNDDOWN(G$57/5, 0)*5,'2010ER'!$D$4:$D$19,'2010ER'!$L$4:$L$19))</f>
        <v>1216.133438523002</v>
      </c>
      <c r="H65" s="909"/>
      <c r="I65" s="176">
        <f>LOOKUP(ROUNDDOWN(I$57/5, 0)*5,'2010ER'!$D$4:$D$19,'2010ER'!$L$4:$L$19)+((I$57-ROUNDDOWN(I$57/5, 0)*5)/5)*(LOOKUP(ROUNDUP(I$57/5, 0)*5,'2010ER'!$D$4:$D$19,'2010ER'!$L$4:$L$19)-LOOKUP(ROUNDDOWN(I$57/5, 0)*5,'2010ER'!$D$4:$D$19,'2010ER'!$L$4:$L$19))</f>
        <v>2034.6633547941401</v>
      </c>
      <c r="J65" s="176">
        <f>LOOKUP(ROUNDDOWN(J$57/5, 0)*5,'2010ER'!$D$4:$D$19,'2010ER'!$L$4:$L$19)+((J$57-ROUNDDOWN(J$57/5, 0)*5)/5)*(LOOKUP(ROUNDUP(J$57/5, 0)*5,'2010ER'!$D$4:$D$19,'2010ER'!$L$4:$L$19)-LOOKUP(ROUNDDOWN(J$57/5, 0)*5,'2010ER'!$D$4:$D$19,'2010ER'!$L$4:$L$19))</f>
        <v>1326.4932683385373</v>
      </c>
      <c r="K65" s="176">
        <f>LOOKUP(ROUNDDOWN(K$57/5, 0)*5,'2010ER'!$D$4:$D$19,'2010ER'!$L$4:$L$19)+((K$57-ROUNDDOWN(K$57/5, 0)*5)/5)*(LOOKUP(ROUNDUP(K$57/5, 0)*5,'2010ER'!$D$4:$D$19,'2010ER'!$L$4:$L$19)-LOOKUP(ROUNDDOWN(K$57/5, 0)*5,'2010ER'!$D$4:$D$19,'2010ER'!$L$4:$L$19))</f>
        <v>1216.133438523002</v>
      </c>
      <c r="L65" s="176">
        <f>LOOKUP(ROUNDDOWN(L$57/5, 0)*5,'2010ER'!$D$4:$D$19,'2010ER'!$L$4:$L$19)+((L$57-ROUNDDOWN(L$57/5, 0)*5)/5)*(LOOKUP(ROUNDUP(L$57/5, 0)*5,'2010ER'!$D$4:$D$19,'2010ER'!$L$4:$L$19)-LOOKUP(ROUNDDOWN(L$57/5, 0)*5,'2010ER'!$D$4:$D$19,'2010ER'!$L$4:$L$19))</f>
        <v>1216.133438523002</v>
      </c>
      <c r="M65" s="902"/>
      <c r="N65" s="301"/>
      <c r="O65" s="1123"/>
      <c r="P65" s="927"/>
    </row>
    <row r="66" spans="1:16" hidden="1" x14ac:dyDescent="0.25">
      <c r="A66" s="301"/>
      <c r="B66" s="302"/>
      <c r="C66" s="359" t="s">
        <v>452</v>
      </c>
      <c r="D66" s="176">
        <f>LOOKUP(ROUNDDOWN(D$57/5, 0)*5,'2010ER'!$D$20:$D$35,'2010ER'!$L$20:$L$35)+((D$57-ROUNDDOWN(D$57/5, 0)*5)/5)*(LOOKUP(ROUNDUP(D$57/5, 0)*5,'2010ER'!$D$20:$D$35,'2010ER'!$L$20:$L$35)-LOOKUP(ROUNDDOWN(D$57/5, 0)*5,'2010ER'!$D$20:$D$35,'2010ER'!$L$20:$L$35))</f>
        <v>10.440413264837028</v>
      </c>
      <c r="E66" s="176">
        <f>LOOKUP(ROUNDDOWN(E$57/5, 0)*5,'2010ER'!$D$20:$D$35,'2010ER'!$L$20:$L$35)+((E$57-ROUNDDOWN(E$57/5, 0)*5)/5)*(LOOKUP(ROUNDUP(E$57/5, 0)*5,'2010ER'!$D$20:$D$35,'2010ER'!$L$20:$L$35)-LOOKUP(ROUNDDOWN(E$57/5, 0)*5,'2010ER'!$D$20:$D$35,'2010ER'!$L$20:$L$35))</f>
        <v>17.802885114108108</v>
      </c>
      <c r="F66" s="176">
        <f>LOOKUP(ROUNDDOWN(F$57/5, 0)*5,'2010ER'!$D$20:$D$35,'2010ER'!$L$20:$L$35)+((F$57-ROUNDDOWN(F$57/5, 0)*5)/5)*(LOOKUP(ROUNDUP(F$57/5, 0)*5,'2010ER'!$D$20:$D$35,'2010ER'!$L$20:$L$35)-LOOKUP(ROUNDDOWN(F$57/5, 0)*5,'2010ER'!$D$20:$D$35,'2010ER'!$L$20:$L$35))</f>
        <v>10.501381386463679</v>
      </c>
      <c r="G66" s="176">
        <f>LOOKUP(ROUNDDOWN(G$57/5, 0)*5,'2010ER'!$D$20:$D$35,'2010ER'!$L$20:$L$35)+((G$57-ROUNDDOWN(G$57/5, 0)*5)/5)*(LOOKUP(ROUNDUP(G$57/5, 0)*5,'2010ER'!$D$20:$D$35,'2010ER'!$L$20:$L$35)-LOOKUP(ROUNDDOWN(G$57/5, 0)*5,'2010ER'!$D$20:$D$35,'2010ER'!$L$20:$L$35))</f>
        <v>10.501381386463679</v>
      </c>
      <c r="H66" s="909"/>
      <c r="I66" s="176">
        <f>LOOKUP(ROUNDDOWN(I$57/5, 0)*5,'2010ER'!$D$20:$D$35,'2010ER'!$L$20:$L$35)+((I$57-ROUNDDOWN(I$57/5, 0)*5)/5)*(LOOKUP(ROUNDUP(I$57/5, 0)*5,'2010ER'!$D$20:$D$35,'2010ER'!$L$20:$L$35)-LOOKUP(ROUNDDOWN(I$57/5, 0)*5,'2010ER'!$D$20:$D$35,'2010ER'!$L$20:$L$35))</f>
        <v>17.802885114108108</v>
      </c>
      <c r="J66" s="176">
        <f>LOOKUP(ROUNDDOWN(J$57/5, 0)*5,'2010ER'!$D$20:$D$35,'2010ER'!$L$20:$L$35)+((J$57-ROUNDDOWN(J$57/5, 0)*5)/5)*(LOOKUP(ROUNDUP(J$57/5, 0)*5,'2010ER'!$D$20:$D$35,'2010ER'!$L$20:$L$35)-LOOKUP(ROUNDDOWN(J$57/5, 0)*5,'2010ER'!$D$20:$D$35,'2010ER'!$L$20:$L$35))</f>
        <v>11.331535762715557</v>
      </c>
      <c r="K66" s="176">
        <f>LOOKUP(ROUNDDOWN(K$57/5, 0)*5,'2010ER'!$D$20:$D$35,'2010ER'!$L$20:$L$35)+((K$57-ROUNDDOWN(K$57/5, 0)*5)/5)*(LOOKUP(ROUNDUP(K$57/5, 0)*5,'2010ER'!$D$20:$D$35,'2010ER'!$L$20:$L$35)-LOOKUP(ROUNDDOWN(K$57/5, 0)*5,'2010ER'!$D$20:$D$35,'2010ER'!$L$20:$L$35))</f>
        <v>10.501381386463679</v>
      </c>
      <c r="L66" s="176">
        <f>LOOKUP(ROUNDDOWN(L$57/5, 0)*5,'2010ER'!$D$20:$D$35,'2010ER'!$L$20:$L$35)+((L$57-ROUNDDOWN(L$57/5, 0)*5)/5)*(LOOKUP(ROUNDUP(L$57/5, 0)*5,'2010ER'!$D$20:$D$35,'2010ER'!$L$20:$L$35)-LOOKUP(ROUNDDOWN(L$57/5, 0)*5,'2010ER'!$D$20:$D$35,'2010ER'!$L$20:$L$35))</f>
        <v>10.501381386463679</v>
      </c>
      <c r="M66" s="902"/>
      <c r="N66" s="301"/>
      <c r="O66" s="1123"/>
      <c r="P66" s="927"/>
    </row>
    <row r="67" spans="1:16" hidden="1" x14ac:dyDescent="0.25">
      <c r="A67" s="301"/>
      <c r="B67" s="302"/>
      <c r="C67" s="359" t="s">
        <v>453</v>
      </c>
      <c r="D67" s="176">
        <f>LOOKUP(ROUNDDOWN(D$57/5, 0)*5,'2010ER'!$D$36:$D$51,'2010ER'!$L$36:$L$51)+((D$57-ROUNDDOWN(D$57/5, 0)*5)/5)*(LOOKUP(ROUNDUP(D$57/5, 0)*5,'2010ER'!$D$36:$D$51,'2010ER'!$L$36:$L$51)-LOOKUP(ROUNDDOWN(D$57/5, 0)*5,'2010ER'!$D$36:$D$51,'2010ER'!$L$36:$L$51))</f>
        <v>0.50181011006379195</v>
      </c>
      <c r="E67" s="176">
        <f>LOOKUP(ROUNDDOWN(E$57/5, 0)*5,'2010ER'!$D$36:$D$51,'2010ER'!$L$36:$L$51)+((E$57-ROUNDDOWN(E$57/5, 0)*5)/5)*(LOOKUP(ROUNDUP(E$57/5, 0)*5,'2010ER'!$D$36:$D$51,'2010ER'!$L$36:$L$51)-LOOKUP(ROUNDDOWN(E$57/5, 0)*5,'2010ER'!$D$36:$D$51,'2010ER'!$L$36:$L$51))</f>
        <v>1.060142845051893</v>
      </c>
      <c r="F67" s="176">
        <f>LOOKUP(ROUNDDOWN(F$57/5, 0)*5,'2010ER'!$D$36:$D$51,'2010ER'!$L$36:$L$51)+((F$57-ROUNDDOWN(F$57/5, 0)*5)/5)*(LOOKUP(ROUNDUP(F$57/5, 0)*5,'2010ER'!$D$36:$D$51,'2010ER'!$L$36:$L$51)-LOOKUP(ROUNDDOWN(F$57/5, 0)*5,'2010ER'!$D$36:$D$51,'2010ER'!$L$36:$L$51))</f>
        <v>0.471061862459978</v>
      </c>
      <c r="G67" s="176">
        <f>LOOKUP(ROUNDDOWN(G$57/5, 0)*5,'2010ER'!$D$36:$D$51,'2010ER'!$L$36:$L$51)+((G$57-ROUNDDOWN(G$57/5, 0)*5)/5)*(LOOKUP(ROUNDUP(G$57/5, 0)*5,'2010ER'!$D$36:$D$51,'2010ER'!$L$36:$L$51)-LOOKUP(ROUNDDOWN(G$57/5, 0)*5,'2010ER'!$D$36:$D$51,'2010ER'!$L$36:$L$51))</f>
        <v>0.471061862459978</v>
      </c>
      <c r="H67" s="909"/>
      <c r="I67" s="176">
        <f>LOOKUP(ROUNDDOWN(I$57/5, 0)*5,'2010ER'!$D$36:$D$51,'2010ER'!$L$36:$L$51)+((I$57-ROUNDDOWN(I$57/5, 0)*5)/5)*(LOOKUP(ROUNDUP(I$57/5, 0)*5,'2010ER'!$D$36:$D$51,'2010ER'!$L$36:$L$51)-LOOKUP(ROUNDDOWN(I$57/5, 0)*5,'2010ER'!$D$36:$D$51,'2010ER'!$L$36:$L$51))</f>
        <v>1.060142845051893</v>
      </c>
      <c r="J67" s="176">
        <f>LOOKUP(ROUNDDOWN(J$57/5, 0)*5,'2010ER'!$D$36:$D$51,'2010ER'!$L$36:$L$51)+((J$57-ROUNDDOWN(J$57/5, 0)*5)/5)*(LOOKUP(ROUNDUP(J$57/5, 0)*5,'2010ER'!$D$36:$D$51,'2010ER'!$L$36:$L$51)-LOOKUP(ROUNDDOWN(J$57/5, 0)*5,'2010ER'!$D$36:$D$51,'2010ER'!$L$36:$L$51))</f>
        <v>0.61433082816707463</v>
      </c>
      <c r="K67" s="176">
        <f>LOOKUP(ROUNDDOWN(K$57/5, 0)*5,'2010ER'!$D$36:$D$51,'2010ER'!$L$36:$L$51)+((K$57-ROUNDDOWN(K$57/5, 0)*5)/5)*(LOOKUP(ROUNDUP(K$57/5, 0)*5,'2010ER'!$D$36:$D$51,'2010ER'!$L$36:$L$51)-LOOKUP(ROUNDDOWN(K$57/5, 0)*5,'2010ER'!$D$36:$D$51,'2010ER'!$L$36:$L$51))</f>
        <v>0.471061862459978</v>
      </c>
      <c r="L67" s="176">
        <f>LOOKUP(ROUNDDOWN(L$57/5, 0)*5,'2010ER'!$D$36:$D$51,'2010ER'!$L$36:$L$51)+((L$57-ROUNDDOWN(L$57/5, 0)*5)/5)*(LOOKUP(ROUNDUP(L$57/5, 0)*5,'2010ER'!$D$36:$D$51,'2010ER'!$L$36:$L$51)-LOOKUP(ROUNDDOWN(L$57/5, 0)*5,'2010ER'!$D$36:$D$51,'2010ER'!$L$36:$L$51))</f>
        <v>0.471061862459978</v>
      </c>
      <c r="M67" s="902"/>
      <c r="N67" s="301"/>
      <c r="O67" s="1156"/>
      <c r="P67" s="927"/>
    </row>
    <row r="68" spans="1:16" hidden="1" x14ac:dyDescent="0.25">
      <c r="A68" s="301"/>
      <c r="B68" s="302"/>
      <c r="C68" s="359" t="s">
        <v>454</v>
      </c>
      <c r="D68" s="176">
        <f>LOOKUP(ROUNDDOWN(D$57/5, 0)*5,'2010ER'!$D$52:$D$67,'2010ER'!$L$52:$L$67)+((D$57-ROUNDDOWN(D$57/5, 0)*5)/5)*(LOOKUP(ROUNDUP(D$57/5, 0)*5,'2010ER'!$D$52:$D$67,'2010ER'!$L$52:$L$67)-LOOKUP(ROUNDDOWN(D$57/5, 0)*5,'2010ER'!$D$52:$D$67,'2010ER'!$L$52:$L$67))</f>
        <v>9.4802352139686921</v>
      </c>
      <c r="E68" s="176">
        <f>LOOKUP(ROUNDDOWN(E$57/5, 0)*5,'2010ER'!$D$52:$D$67,'2010ER'!$L$52:$L$67)+((E$57-ROUNDDOWN(E$57/5, 0)*5)/5)*(LOOKUP(ROUNDUP(E$57/5, 0)*5,'2010ER'!$D$52:$D$67,'2010ER'!$L$52:$L$67)-LOOKUP(ROUNDDOWN(E$57/5, 0)*5,'2010ER'!$D$52:$D$67,'2010ER'!$L$52:$L$67))</f>
        <v>15.528730891552419</v>
      </c>
      <c r="F68" s="176">
        <f>LOOKUP(ROUNDDOWN(F$57/5, 0)*5,'2010ER'!$D$52:$D$67,'2010ER'!$L$52:$L$67)+((F$57-ROUNDDOWN(F$57/5, 0)*5)/5)*(LOOKUP(ROUNDUP(F$57/5, 0)*5,'2010ER'!$D$52:$D$67,'2010ER'!$L$52:$L$67)-LOOKUP(ROUNDDOWN(F$57/5, 0)*5,'2010ER'!$D$52:$D$67,'2010ER'!$L$52:$L$67))</f>
        <v>9.5324636185627103</v>
      </c>
      <c r="G68" s="176">
        <f>LOOKUP(ROUNDDOWN(G$57/5, 0)*5,'2010ER'!$D$52:$D$67,'2010ER'!$L$52:$L$67)+((G$57-ROUNDDOWN(G$57/5, 0)*5)/5)*(LOOKUP(ROUNDUP(G$57/5, 0)*5,'2010ER'!$D$52:$D$67,'2010ER'!$L$52:$L$67)-LOOKUP(ROUNDDOWN(G$57/5, 0)*5,'2010ER'!$D$52:$D$67,'2010ER'!$L$52:$L$67))</f>
        <v>9.5324636185627103</v>
      </c>
      <c r="H68" s="909"/>
      <c r="I68" s="176">
        <f>LOOKUP(ROUNDDOWN(I$57/5, 0)*5,'2010ER'!$D$52:$D$67,'2010ER'!$L$52:$L$67)+((I$57-ROUNDDOWN(I$57/5, 0)*5)/5)*(LOOKUP(ROUNDUP(I$57/5, 0)*5,'2010ER'!$D$52:$D$67,'2010ER'!$L$52:$L$67)-LOOKUP(ROUNDDOWN(I$57/5, 0)*5,'2010ER'!$D$52:$D$67,'2010ER'!$L$52:$L$67))</f>
        <v>15.528730891552419</v>
      </c>
      <c r="J68" s="176">
        <f>LOOKUP(ROUNDDOWN(J$57/5, 0)*5,'2010ER'!$D$52:$D$67,'2010ER'!$L$52:$L$67)+((J$57-ROUNDDOWN(J$57/5, 0)*5)/5)*(LOOKUP(ROUNDUP(J$57/5, 0)*5,'2010ER'!$D$52:$D$67,'2010ER'!$L$52:$L$67)-LOOKUP(ROUNDDOWN(J$57/5, 0)*5,'2010ER'!$D$52:$D$67,'2010ER'!$L$52:$L$67))</f>
        <v>10.16821867958911</v>
      </c>
      <c r="K68" s="176">
        <f>LOOKUP(ROUNDDOWN(K$57/5, 0)*5,'2010ER'!$D$52:$D$67,'2010ER'!$L$52:$L$67)+((K$57-ROUNDDOWN(K$57/5, 0)*5)/5)*(LOOKUP(ROUNDUP(K$57/5, 0)*5,'2010ER'!$D$52:$D$67,'2010ER'!$L$52:$L$67)-LOOKUP(ROUNDDOWN(K$57/5, 0)*5,'2010ER'!$D$52:$D$67,'2010ER'!$L$52:$L$67))</f>
        <v>9.5324636185627103</v>
      </c>
      <c r="L68" s="176">
        <f>LOOKUP(ROUNDDOWN(L$57/5, 0)*5,'2010ER'!$D$52:$D$67,'2010ER'!$L$52:$L$67)+((L$57-ROUNDDOWN(L$57/5, 0)*5)/5)*(LOOKUP(ROUNDUP(L$57/5, 0)*5,'2010ER'!$D$52:$D$67,'2010ER'!$L$52:$L$67)-LOOKUP(ROUNDDOWN(L$57/5, 0)*5,'2010ER'!$D$52:$D$67,'2010ER'!$L$52:$L$67))</f>
        <v>9.5324636185627103</v>
      </c>
      <c r="M68" s="902"/>
      <c r="N68" s="301"/>
      <c r="O68" s="1156"/>
      <c r="P68" s="927"/>
    </row>
    <row r="69" spans="1:16" hidden="1" x14ac:dyDescent="0.25">
      <c r="A69" s="301"/>
      <c r="B69" s="302"/>
      <c r="C69" s="359" t="s">
        <v>455</v>
      </c>
      <c r="D69" s="176">
        <f>LOOKUP(ROUNDDOWN(D$57/5, 0)*5,'2010ER'!$D$68:$D$83,'2010ER'!$L$68:$L$83)+((D$57-ROUNDDOWN(D$57/5, 0)*5)/5)*(LOOKUP(ROUNDUP(D$57/5, 0)*5,'2010ER'!$D$68:$D$83,'2010ER'!$L$68:$L$83)-LOOKUP(ROUNDDOWN(D$57/5, 0)*5,'2010ER'!$D$68:$D$83,'2010ER'!$L$68:$L$83))</f>
        <v>0.65692756741290637</v>
      </c>
      <c r="E69" s="176">
        <f>LOOKUP(ROUNDDOWN(E$57/5, 0)*5,'2010ER'!$D$68:$D$83,'2010ER'!$L$68:$L$83)+((E$57-ROUNDDOWN(E$57/5, 0)*5)/5)*(LOOKUP(ROUNDUP(E$57/5, 0)*5,'2010ER'!$D$68:$D$83,'2010ER'!$L$68:$L$83)-LOOKUP(ROUNDDOWN(E$57/5, 0)*5,'2010ER'!$D$68:$D$83,'2010ER'!$L$68:$L$83))</f>
        <v>1.5034186137735017</v>
      </c>
      <c r="F69" s="176">
        <f>LOOKUP(ROUNDDOWN(F$57/5, 0)*5,'2010ER'!$D$68:$D$83,'2010ER'!$L$68:$L$83)+((F$57-ROUNDDOWN(F$57/5, 0)*5)/5)*(LOOKUP(ROUNDUP(F$57/5, 0)*5,'2010ER'!$D$68:$D$83,'2010ER'!$L$68:$L$83)-LOOKUP(ROUNDDOWN(F$57/5, 0)*5,'2010ER'!$D$68:$D$83,'2010ER'!$L$68:$L$83))</f>
        <v>0.61765213450004075</v>
      </c>
      <c r="G69" s="176">
        <f>LOOKUP(ROUNDDOWN(G$57/5, 0)*5,'2010ER'!$D$68:$D$83,'2010ER'!$L$68:$L$83)+((G$57-ROUNDDOWN(G$57/5, 0)*5)/5)*(LOOKUP(ROUNDUP(G$57/5, 0)*5,'2010ER'!$D$68:$D$83,'2010ER'!$L$68:$L$83)-LOOKUP(ROUNDDOWN(G$57/5, 0)*5,'2010ER'!$D$68:$D$83,'2010ER'!$L$68:$L$83))</f>
        <v>0.61765213450004075</v>
      </c>
      <c r="H69" s="909"/>
      <c r="I69" s="176">
        <f>LOOKUP(ROUNDDOWN(I$57/5, 0)*5,'2010ER'!$D$68:$D$83,'2010ER'!$L$68:$L$83)+((I$57-ROUNDDOWN(I$57/5, 0)*5)/5)*(LOOKUP(ROUNDUP(I$57/5, 0)*5,'2010ER'!$D$68:$D$83,'2010ER'!$L$68:$L$83)-LOOKUP(ROUNDDOWN(I$57/5, 0)*5,'2010ER'!$D$68:$D$83,'2010ER'!$L$68:$L$83))</f>
        <v>1.5034186137735017</v>
      </c>
      <c r="J69" s="176">
        <f>LOOKUP(ROUNDDOWN(J$57/5, 0)*5,'2010ER'!$D$68:$D$83,'2010ER'!$L$68:$L$83)+((J$57-ROUNDDOWN(J$57/5, 0)*5)/5)*(LOOKUP(ROUNDUP(J$57/5, 0)*5,'2010ER'!$D$68:$D$83,'2010ER'!$L$68:$L$83)-LOOKUP(ROUNDDOWN(J$57/5, 0)*5,'2010ER'!$D$68:$D$83,'2010ER'!$L$68:$L$83))</f>
        <v>0.75663397958121792</v>
      </c>
      <c r="K69" s="176">
        <f>LOOKUP(ROUNDDOWN(K$57/5, 0)*5,'2010ER'!$D$68:$D$83,'2010ER'!$L$68:$L$83)+((K$57-ROUNDDOWN(K$57/5, 0)*5)/5)*(LOOKUP(ROUNDUP(K$57/5, 0)*5,'2010ER'!$D$68:$D$83,'2010ER'!$L$68:$L$83)-LOOKUP(ROUNDDOWN(K$57/5, 0)*5,'2010ER'!$D$68:$D$83,'2010ER'!$L$68:$L$83))</f>
        <v>0.61765213450004075</v>
      </c>
      <c r="L69" s="176">
        <f>LOOKUP(ROUNDDOWN(L$57/5, 0)*5,'2010ER'!$D$68:$D$83,'2010ER'!$L$68:$L$83)+((L$57-ROUNDDOWN(L$57/5, 0)*5)/5)*(LOOKUP(ROUNDUP(L$57/5, 0)*5,'2010ER'!$D$68:$D$83,'2010ER'!$L$68:$L$83)-LOOKUP(ROUNDDOWN(L$57/5, 0)*5,'2010ER'!$D$68:$D$83,'2010ER'!$L$68:$L$83))</f>
        <v>0.61765213450004075</v>
      </c>
      <c r="M69" s="902"/>
      <c r="N69" s="301"/>
      <c r="O69" s="1123"/>
      <c r="P69" s="927"/>
    </row>
    <row r="70" spans="1:16" hidden="1" x14ac:dyDescent="0.25">
      <c r="A70" s="301"/>
      <c r="B70" s="302"/>
      <c r="C70" s="359" t="s">
        <v>403</v>
      </c>
      <c r="D70" s="176">
        <f>LOOKUP(ROUNDDOWN(D$57/5, 0)*5,'2010ER'!$D$4:$D$19,'2010ER'!$Q$4:$Q$19)+((D$57-ROUNDDOWN(D$57/5, 0)*5)/5)*(LOOKUP(ROUNDUP(D$57/5, 0)*5,'2010ER'!$D$4:$D$19,'2010ER'!$Q$4:$Q$19)-LOOKUP(ROUNDDOWN(D$57/5, 0)*5,'2010ER'!$D$4:$D$19,'2010ER'!$Q$4:$Q$19))</f>
        <v>1400.3214583088763</v>
      </c>
      <c r="E70" s="176">
        <f>LOOKUP(ROUNDDOWN(E$57/5, 0)*5,'2010ER'!$D$4:$D$19,'2010ER'!$Q$4:$Q$19)+((E$57-ROUNDDOWN(E$57/5, 0)*5)/5)*(LOOKUP(ROUNDUP(E$57/5, 0)*5,'2010ER'!$D$4:$D$19,'2010ER'!$Q$4:$Q$19)-LOOKUP(ROUNDDOWN(E$57/5, 0)*5,'2010ER'!$D$4:$D$19,'2010ER'!$Q$4:$Q$19))</f>
        <v>2244.0786992240628</v>
      </c>
      <c r="F70" s="176">
        <f>LOOKUP(ROUNDDOWN(F$57/5, 0)*5,'2010ER'!$D$4:$D$19,'2010ER'!$Q$4:$Q$19)+((F$57-ROUNDDOWN(F$57/5, 0)*5)/5)*(LOOKUP(ROUNDUP(F$57/5, 0)*5,'2010ER'!$D$4:$D$19,'2010ER'!$Q$4:$Q$19)-LOOKUP(ROUNDDOWN(F$57/5, 0)*5,'2010ER'!$D$4:$D$19,'2010ER'!$Q$4:$Q$19))</f>
        <v>1377.2701657844123</v>
      </c>
      <c r="G70" s="176">
        <f>LOOKUP(ROUNDDOWN(G$57/5, 0)*5,'2010ER'!$D$4:$D$19,'2010ER'!$Q$4:$Q$19)+((G$57-ROUNDDOWN(G$57/5, 0)*5)/5)*(LOOKUP(ROUNDUP(G$57/5, 0)*5,'2010ER'!$D$4:$D$19,'2010ER'!$Q$4:$Q$19)-LOOKUP(ROUNDDOWN(G$57/5, 0)*5,'2010ER'!$D$4:$D$19,'2010ER'!$Q$4:$Q$19))</f>
        <v>1377.2701657844123</v>
      </c>
      <c r="H70" s="909"/>
      <c r="I70" s="176">
        <f>LOOKUP(ROUNDDOWN(I$57/5, 0)*5,'2010ER'!$D$4:$D$19,'2010ER'!$Q$4:$Q$19)+((I$57-ROUNDDOWN(I$57/5, 0)*5)/5)*(LOOKUP(ROUNDUP(I$57/5, 0)*5,'2010ER'!$D$4:$D$19,'2010ER'!$Q$4:$Q$19)-LOOKUP(ROUNDDOWN(I$57/5, 0)*5,'2010ER'!$D$4:$D$19,'2010ER'!$Q$4:$Q$19))</f>
        <v>2244.0786992240628</v>
      </c>
      <c r="J70" s="176">
        <f>LOOKUP(ROUNDDOWN(J$57/5, 0)*5,'2010ER'!$D$4:$D$19,'2010ER'!$Q$4:$Q$19)+((J$57-ROUNDDOWN(J$57/5, 0)*5)/5)*(LOOKUP(ROUNDUP(J$57/5, 0)*5,'2010ER'!$D$4:$D$19,'2010ER'!$Q$4:$Q$19)-LOOKUP(ROUNDDOWN(J$57/5, 0)*5,'2010ER'!$D$4:$D$19,'2010ER'!$Q$4:$Q$19))</f>
        <v>1558.4834148644152</v>
      </c>
      <c r="K70" s="176">
        <f>LOOKUP(ROUNDDOWN(K$57/5, 0)*5,'2010ER'!$D$4:$D$19,'2010ER'!$Q$4:$Q$19)+((K$57-ROUNDDOWN(K$57/5, 0)*5)/5)*(LOOKUP(ROUNDUP(K$57/5, 0)*5,'2010ER'!$D$4:$D$19,'2010ER'!$Q$4:$Q$19)-LOOKUP(ROUNDDOWN(K$57/5, 0)*5,'2010ER'!$D$4:$D$19,'2010ER'!$Q$4:$Q$19))</f>
        <v>1377.2701657844123</v>
      </c>
      <c r="L70" s="176">
        <f>LOOKUP(ROUNDDOWN(L$57/5, 0)*5,'2010ER'!$D$4:$D$19,'2010ER'!$Q$4:$Q$19)+((L$57-ROUNDDOWN(L$57/5, 0)*5)/5)*(LOOKUP(ROUNDUP(L$57/5, 0)*5,'2010ER'!$D$4:$D$19,'2010ER'!$Q$4:$Q$19)-LOOKUP(ROUNDDOWN(L$57/5, 0)*5,'2010ER'!$D$4:$D$19,'2010ER'!$Q$4:$Q$19))</f>
        <v>1377.2701657844123</v>
      </c>
      <c r="M70" s="902"/>
      <c r="N70" s="301"/>
      <c r="O70" s="1123"/>
      <c r="P70" s="927"/>
    </row>
    <row r="71" spans="1:16" hidden="1" x14ac:dyDescent="0.25">
      <c r="A71" s="301"/>
      <c r="B71" s="302"/>
      <c r="C71" s="359" t="s">
        <v>405</v>
      </c>
      <c r="D71" s="176">
        <f>LOOKUP(ROUNDDOWN(D$57/5, 0)*5,'2010ER'!$D$20:$D$35,'2010ER'!$Q$20:$Q$35)+((D$57-ROUNDDOWN(D$57/5, 0)*5)/5)*(LOOKUP(ROUNDUP(D$57/5, 0)*5,'2010ER'!$D$20:$D$35,'2010ER'!$Q$20:$Q$35)-LOOKUP(ROUNDDOWN(D$57/5, 0)*5,'2010ER'!$D$20:$D$35,'2010ER'!$Q$20:$Q$35))</f>
        <v>7.4222865182549693</v>
      </c>
      <c r="E71" s="176">
        <f>LOOKUP(ROUNDDOWN(E$57/5, 0)*5,'2010ER'!$D$20:$D$35,'2010ER'!$Q$20:$Q$35)+((E$57-ROUNDDOWN(E$57/5, 0)*5)/5)*(LOOKUP(ROUNDUP(E$57/5, 0)*5,'2010ER'!$D$20:$D$35,'2010ER'!$Q$20:$Q$35)-LOOKUP(ROUNDDOWN(E$57/5, 0)*5,'2010ER'!$D$20:$D$35,'2010ER'!$Q$20:$Q$35))</f>
        <v>12.026232213920938</v>
      </c>
      <c r="F71" s="176">
        <f>LOOKUP(ROUNDDOWN(F$57/5, 0)*5,'2010ER'!$D$20:$D$35,'2010ER'!$Q$20:$Q$35)+((F$57-ROUNDDOWN(F$57/5, 0)*5)/5)*(LOOKUP(ROUNDUP(F$57/5, 0)*5,'2010ER'!$D$20:$D$35,'2010ER'!$Q$20:$Q$35)-LOOKUP(ROUNDDOWN(F$57/5, 0)*5,'2010ER'!$D$20:$D$35,'2010ER'!$Q$20:$Q$35))</f>
        <v>7.3234409761487047</v>
      </c>
      <c r="G71" s="176">
        <f>LOOKUP(ROUNDDOWN(G$57/5, 0)*5,'2010ER'!$D$20:$D$35,'2010ER'!$Q$20:$Q$35)+((G$57-ROUNDDOWN(G$57/5, 0)*5)/5)*(LOOKUP(ROUNDUP(G$57/5, 0)*5,'2010ER'!$D$20:$D$35,'2010ER'!$Q$20:$Q$35)-LOOKUP(ROUNDDOWN(G$57/5, 0)*5,'2010ER'!$D$20:$D$35,'2010ER'!$Q$20:$Q$35))</f>
        <v>7.3234409761487047</v>
      </c>
      <c r="H71" s="909"/>
      <c r="I71" s="176">
        <f>LOOKUP(ROUNDDOWN(I$57/5, 0)*5,'2010ER'!$D$20:$D$35,'2010ER'!$Q$20:$Q$35)+((I$57-ROUNDDOWN(I$57/5, 0)*5)/5)*(LOOKUP(ROUNDUP(I$57/5, 0)*5,'2010ER'!$D$20:$D$35,'2010ER'!$Q$20:$Q$35)-LOOKUP(ROUNDDOWN(I$57/5, 0)*5,'2010ER'!$D$20:$D$35,'2010ER'!$Q$20:$Q$35))</f>
        <v>12.026232213920938</v>
      </c>
      <c r="J71" s="176">
        <f>LOOKUP(ROUNDDOWN(J$57/5, 0)*5,'2010ER'!$D$20:$D$35,'2010ER'!$Q$20:$Q$35)+((J$57-ROUNDDOWN(J$57/5, 0)*5)/5)*(LOOKUP(ROUNDUP(J$57/5, 0)*5,'2010ER'!$D$20:$D$35,'2010ER'!$Q$20:$Q$35)-LOOKUP(ROUNDDOWN(J$57/5, 0)*5,'2010ER'!$D$20:$D$35,'2010ER'!$Q$20:$Q$35))</f>
        <v>8.1037383830666165</v>
      </c>
      <c r="K71" s="176">
        <f>LOOKUP(ROUNDDOWN(K$57/5, 0)*5,'2010ER'!$D$20:$D$35,'2010ER'!$Q$20:$Q$35)+((K$57-ROUNDDOWN(K$57/5, 0)*5)/5)*(LOOKUP(ROUNDUP(K$57/5, 0)*5,'2010ER'!$D$20:$D$35,'2010ER'!$Q$20:$Q$35)-LOOKUP(ROUNDDOWN(K$57/5, 0)*5,'2010ER'!$D$20:$D$35,'2010ER'!$Q$20:$Q$35))</f>
        <v>7.3234409761487047</v>
      </c>
      <c r="L71" s="176">
        <f>LOOKUP(ROUNDDOWN(L$57/5, 0)*5,'2010ER'!$D$20:$D$35,'2010ER'!$Q$20:$Q$35)+((L$57-ROUNDDOWN(L$57/5, 0)*5)/5)*(LOOKUP(ROUNDUP(L$57/5, 0)*5,'2010ER'!$D$20:$D$35,'2010ER'!$Q$20:$Q$35)-LOOKUP(ROUNDDOWN(L$57/5, 0)*5,'2010ER'!$D$20:$D$35,'2010ER'!$Q$20:$Q$35))</f>
        <v>7.3234409761487047</v>
      </c>
      <c r="M71" s="902"/>
      <c r="N71" s="301"/>
      <c r="O71" s="1156"/>
      <c r="P71" s="927"/>
    </row>
    <row r="72" spans="1:16" hidden="1" x14ac:dyDescent="0.25">
      <c r="A72" s="301"/>
      <c r="B72" s="302"/>
      <c r="C72" s="359" t="s">
        <v>404</v>
      </c>
      <c r="D72" s="175">
        <f>LOOKUP(ROUNDDOWN(D$57/5, 0)*5,'2010ER'!$D$36:$D$51,'2010ER'!$Q$36:$Q$51)+((D$57-ROUNDDOWN(D$57/5, 0)*5)/5)*(LOOKUP(ROUNDUP(D$57/5, 0)*5,'2010ER'!$D$36:$D$51,'2010ER'!$Q$36:$Q$51)-LOOKUP(ROUNDDOWN(D$57/5, 0)*5,'2010ER'!$D$36:$D$51,'2010ER'!$Q$36:$Q$51))</f>
        <v>0.30964840145467937</v>
      </c>
      <c r="E72" s="175">
        <f>LOOKUP(ROUNDDOWN(E$57/5, 0)*5,'2010ER'!$D$36:$D$51,'2010ER'!$Q$36:$Q$51)+((E$57-ROUNDDOWN(E$57/5, 0)*5)/5)*(LOOKUP(ROUNDUP(E$57/5, 0)*5,'2010ER'!$D$36:$D$51,'2010ER'!$Q$36:$Q$51)-LOOKUP(ROUNDDOWN(E$57/5, 0)*5,'2010ER'!$D$36:$D$51,'2010ER'!$Q$36:$Q$51))</f>
        <v>0.71349340144950746</v>
      </c>
      <c r="F72" s="175">
        <f>LOOKUP(ROUNDDOWN(F$57/5, 0)*5,'2010ER'!$D$36:$D$51,'2010ER'!$Q$36:$Q$51)+((F$57-ROUNDDOWN(F$57/5, 0)*5)/5)*(LOOKUP(ROUNDUP(F$57/5, 0)*5,'2010ER'!$D$36:$D$51,'2010ER'!$Q$36:$Q$51)-LOOKUP(ROUNDDOWN(F$57/5, 0)*5,'2010ER'!$D$36:$D$51,'2010ER'!$Q$36:$Q$51))</f>
        <v>0.28753312703085465</v>
      </c>
      <c r="G72" s="175">
        <f>LOOKUP(ROUNDDOWN(G$57/5, 0)*5,'2010ER'!$D$36:$D$51,'2010ER'!$Q$36:$Q$51)+((G$57-ROUNDDOWN(G$57/5, 0)*5)/5)*(LOOKUP(ROUNDUP(G$57/5, 0)*5,'2010ER'!$D$36:$D$51,'2010ER'!$Q$36:$Q$51)-LOOKUP(ROUNDDOWN(G$57/5, 0)*5,'2010ER'!$D$36:$D$51,'2010ER'!$Q$36:$Q$51))</f>
        <v>0.28753312703085465</v>
      </c>
      <c r="H72" s="909"/>
      <c r="I72" s="175">
        <f>LOOKUP(ROUNDDOWN(I$57/5, 0)*5,'2010ER'!$D$36:$D$51,'2010ER'!$Q$36:$Q$51)+((I$57-ROUNDDOWN(I$57/5, 0)*5)/5)*(LOOKUP(ROUNDUP(I$57/5, 0)*5,'2010ER'!$D$36:$D$51,'2010ER'!$Q$36:$Q$51)-LOOKUP(ROUNDDOWN(I$57/5, 0)*5,'2010ER'!$D$36:$D$51,'2010ER'!$Q$36:$Q$51))</f>
        <v>0.71349340144950746</v>
      </c>
      <c r="J72" s="175">
        <f>LOOKUP(ROUNDDOWN(J$57/5, 0)*5,'2010ER'!$D$36:$D$51,'2010ER'!$Q$36:$Q$51)+((J$57-ROUNDDOWN(J$57/5, 0)*5)/5)*(LOOKUP(ROUNDUP(J$57/5, 0)*5,'2010ER'!$D$36:$D$51,'2010ER'!$Q$36:$Q$51)-LOOKUP(ROUNDDOWN(J$57/5, 0)*5,'2010ER'!$D$36:$D$51,'2010ER'!$Q$36:$Q$51))</f>
        <v>0.40941403700090551</v>
      </c>
      <c r="K72" s="175">
        <f>LOOKUP(ROUNDDOWN(K$57/5, 0)*5,'2010ER'!$D$36:$D$51,'2010ER'!$Q$36:$Q$51)+((K$57-ROUNDDOWN(K$57/5, 0)*5)/5)*(LOOKUP(ROUNDUP(K$57/5, 0)*5,'2010ER'!$D$36:$D$51,'2010ER'!$Q$36:$Q$51)-LOOKUP(ROUNDDOWN(K$57/5, 0)*5,'2010ER'!$D$36:$D$51,'2010ER'!$Q$36:$Q$51))</f>
        <v>0.28753312703085465</v>
      </c>
      <c r="L72" s="175">
        <f>LOOKUP(ROUNDDOWN(L$57/5, 0)*5,'2010ER'!$D$36:$D$51,'2010ER'!$Q$36:$Q$51)+((L$57-ROUNDDOWN(L$57/5, 0)*5)/5)*(LOOKUP(ROUNDUP(L$57/5, 0)*5,'2010ER'!$D$36:$D$51,'2010ER'!$Q$36:$Q$51)-LOOKUP(ROUNDDOWN(L$57/5, 0)*5,'2010ER'!$D$36:$D$51,'2010ER'!$Q$36:$Q$51))</f>
        <v>0.28753312703085465</v>
      </c>
      <c r="M72" s="901"/>
      <c r="N72" s="301"/>
      <c r="O72" s="1156"/>
      <c r="P72" s="927"/>
    </row>
    <row r="73" spans="1:16" hidden="1" x14ac:dyDescent="0.25">
      <c r="A73" s="301"/>
      <c r="B73" s="302"/>
      <c r="C73" s="359" t="s">
        <v>427</v>
      </c>
      <c r="D73" s="175">
        <f>LOOKUP(ROUNDDOWN(D$57/5, 0)*5,'2010ER'!$D$52:$D$67,'2010ER'!$Q$52:$Q$67)+((D$57-ROUNDDOWN(D$57/5, 0)*5)/5)*(LOOKUP(ROUNDUP(D$57/5, 0)*5,'2010ER'!$D$52:$D$67,'2010ER'!$Q$52:$Q$67)-LOOKUP(ROUNDDOWN(D$57/5, 0)*5,'2010ER'!$D$52:$D$67,'2010ER'!$Q$52:$Q$67))</f>
        <v>6.6299097666360067</v>
      </c>
      <c r="E73" s="175">
        <f>LOOKUP(ROUNDDOWN(E$57/5, 0)*5,'2010ER'!$D$52:$D$67,'2010ER'!$Q$52:$Q$67)+((E$57-ROUNDDOWN(E$57/5, 0)*5)/5)*(LOOKUP(ROUNDUP(E$57/5, 0)*5,'2010ER'!$D$52:$D$67,'2010ER'!$Q$52:$Q$67)-LOOKUP(ROUNDDOWN(E$57/5, 0)*5,'2010ER'!$D$52:$D$67,'2010ER'!$Q$52:$Q$67))</f>
        <v>10.416632694257531</v>
      </c>
      <c r="F73" s="175">
        <f>LOOKUP(ROUNDDOWN(F$57/5, 0)*5,'2010ER'!$D$52:$D$67,'2010ER'!$Q$52:$Q$67)+((F$57-ROUNDDOWN(F$57/5, 0)*5)/5)*(LOOKUP(ROUNDUP(F$57/5, 0)*5,'2010ER'!$D$52:$D$67,'2010ER'!$Q$52:$Q$67)-LOOKUP(ROUNDDOWN(F$57/5, 0)*5,'2010ER'!$D$52:$D$67,'2010ER'!$Q$52:$Q$67))</f>
        <v>6.5439571043707518</v>
      </c>
      <c r="G73" s="175">
        <f>LOOKUP(ROUNDDOWN(G$57/5, 0)*5,'2010ER'!$D$52:$D$67,'2010ER'!$Q$52:$Q$67)+((G$57-ROUNDDOWN(G$57/5, 0)*5)/5)*(LOOKUP(ROUNDUP(G$57/5, 0)*5,'2010ER'!$D$52:$D$67,'2010ER'!$Q$52:$Q$67)-LOOKUP(ROUNDDOWN(G$57/5, 0)*5,'2010ER'!$D$52:$D$67,'2010ER'!$Q$52:$Q$67))</f>
        <v>6.5439571043707518</v>
      </c>
      <c r="H73" s="909"/>
      <c r="I73" s="175">
        <f>LOOKUP(ROUNDDOWN(I$57/5, 0)*5,'2010ER'!$D$52:$D$67,'2010ER'!$Q$52:$Q$67)+((I$57-ROUNDDOWN(I$57/5, 0)*5)/5)*(LOOKUP(ROUNDUP(I$57/5, 0)*5,'2010ER'!$D$52:$D$67,'2010ER'!$Q$52:$Q$67)-LOOKUP(ROUNDDOWN(I$57/5, 0)*5,'2010ER'!$D$52:$D$67,'2010ER'!$Q$52:$Q$67))</f>
        <v>10.416632694257531</v>
      </c>
      <c r="J73" s="175">
        <f>LOOKUP(ROUNDDOWN(J$57/5, 0)*5,'2010ER'!$D$52:$D$67,'2010ER'!$Q$52:$Q$67)+((J$57-ROUNDDOWN(J$57/5, 0)*5)/5)*(LOOKUP(ROUNDUP(J$57/5, 0)*5,'2010ER'!$D$52:$D$67,'2010ER'!$Q$52:$Q$67)-LOOKUP(ROUNDDOWN(J$57/5, 0)*5,'2010ER'!$D$52:$D$67,'2010ER'!$Q$52:$Q$67))</f>
        <v>7.1797717363712072</v>
      </c>
      <c r="K73" s="175">
        <f>LOOKUP(ROUNDDOWN(K$57/5, 0)*5,'2010ER'!$D$52:$D$67,'2010ER'!$Q$52:$Q$67)+((K$57-ROUNDDOWN(K$57/5, 0)*5)/5)*(LOOKUP(ROUNDUP(K$57/5, 0)*5,'2010ER'!$D$52:$D$67,'2010ER'!$Q$52:$Q$67)-LOOKUP(ROUNDDOWN(K$57/5, 0)*5,'2010ER'!$D$52:$D$67,'2010ER'!$Q$52:$Q$67))</f>
        <v>6.5439571043707518</v>
      </c>
      <c r="L73" s="175">
        <f>LOOKUP(ROUNDDOWN(L$57/5, 0)*5,'2010ER'!$D$52:$D$67,'2010ER'!$Q$52:$Q$67)+((L$57-ROUNDDOWN(L$57/5, 0)*5)/5)*(LOOKUP(ROUNDUP(L$57/5, 0)*5,'2010ER'!$D$52:$D$67,'2010ER'!$Q$52:$Q$67)-LOOKUP(ROUNDDOWN(L$57/5, 0)*5,'2010ER'!$D$52:$D$67,'2010ER'!$Q$52:$Q$67))</f>
        <v>6.5439571043707518</v>
      </c>
      <c r="M73" s="901"/>
      <c r="N73" s="301"/>
      <c r="O73" s="1123"/>
      <c r="P73" s="927"/>
    </row>
    <row r="74" spans="1:16" hidden="1" x14ac:dyDescent="0.25">
      <c r="A74" s="301"/>
      <c r="B74" s="302"/>
      <c r="C74" s="359" t="s">
        <v>425</v>
      </c>
      <c r="D74" s="175">
        <f>LOOKUP(ROUNDDOWN(D$57/5, 0)*5,'2010ER'!$D$68:$D$83,'2010ER'!$Q$68:$Q$83)+((D$57-ROUNDDOWN(D$57/5, 0)*5)/5)*(LOOKUP(ROUNDUP(D$57/5, 0)*5,'2010ER'!$D$68:$D$83,'2010ER'!$Q$68:$Q$83)-LOOKUP(ROUNDDOWN(D$57/5, 0)*5,'2010ER'!$D$68:$D$83,'2010ER'!$Q$68:$Q$83))</f>
        <v>0.47476750272574253</v>
      </c>
      <c r="E74" s="175">
        <f>LOOKUP(ROUNDDOWN(E$57/5, 0)*5,'2010ER'!$D$68:$D$83,'2010ER'!$Q$68:$Q$83)+((E$57-ROUNDDOWN(E$57/5, 0)*5)/5)*(LOOKUP(ROUNDUP(E$57/5, 0)*5,'2010ER'!$D$68:$D$83,'2010ER'!$Q$68:$Q$83)-LOOKUP(ROUNDDOWN(E$57/5, 0)*5,'2010ER'!$D$68:$D$83,'2010ER'!$Q$68:$Q$83))</f>
        <v>1.173040870755508</v>
      </c>
      <c r="F74" s="175">
        <f>LOOKUP(ROUNDDOWN(F$57/5, 0)*5,'2010ER'!$D$68:$D$83,'2010ER'!$Q$68:$Q$83)+((F$57-ROUNDDOWN(F$57/5, 0)*5)/5)*(LOOKUP(ROUNDUP(F$57/5, 0)*5,'2010ER'!$D$68:$D$83,'2010ER'!$Q$68:$Q$83)-LOOKUP(ROUNDDOWN(F$57/5, 0)*5,'2010ER'!$D$68:$D$83,'2010ER'!$Q$68:$Q$83))</f>
        <v>0.43964362174890587</v>
      </c>
      <c r="G74" s="175">
        <f>LOOKUP(ROUNDDOWN(G$57/5, 0)*5,'2010ER'!$D$68:$D$83,'2010ER'!$Q$68:$Q$83)+((G$57-ROUNDDOWN(G$57/5, 0)*5)/5)*(LOOKUP(ROUNDUP(G$57/5, 0)*5,'2010ER'!$D$68:$D$83,'2010ER'!$Q$68:$Q$83)-LOOKUP(ROUNDDOWN(G$57/5, 0)*5,'2010ER'!$D$68:$D$83,'2010ER'!$Q$68:$Q$83))</f>
        <v>0.43964362174890587</v>
      </c>
      <c r="H74" s="909"/>
      <c r="I74" s="175">
        <f>LOOKUP(ROUNDDOWN(I$57/5, 0)*5,'2010ER'!$D$68:$D$83,'2010ER'!$Q$68:$Q$83)+((I$57-ROUNDDOWN(I$57/5, 0)*5)/5)*(LOOKUP(ROUNDUP(I$57/5, 0)*5,'2010ER'!$D$68:$D$83,'2010ER'!$Q$68:$Q$83)-LOOKUP(ROUNDDOWN(I$57/5, 0)*5,'2010ER'!$D$68:$D$83,'2010ER'!$Q$68:$Q$83))</f>
        <v>1.173040870755508</v>
      </c>
      <c r="J74" s="175">
        <f>LOOKUP(ROUNDDOWN(J$57/5, 0)*5,'2010ER'!$D$68:$D$83,'2010ER'!$Q$68:$Q$83)+((J$57-ROUNDDOWN(J$57/5, 0)*5)/5)*(LOOKUP(ROUNDUP(J$57/5, 0)*5,'2010ER'!$D$68:$D$83,'2010ER'!$Q$68:$Q$83)-LOOKUP(ROUNDDOWN(J$57/5, 0)*5,'2010ER'!$D$68:$D$83,'2010ER'!$Q$68:$Q$83))</f>
        <v>0.58025597178496791</v>
      </c>
      <c r="K74" s="175">
        <f>LOOKUP(ROUNDDOWN(K$57/5, 0)*5,'2010ER'!$D$68:$D$83,'2010ER'!$Q$68:$Q$83)+((K$57-ROUNDDOWN(K$57/5, 0)*5)/5)*(LOOKUP(ROUNDUP(K$57/5, 0)*5,'2010ER'!$D$68:$D$83,'2010ER'!$Q$68:$Q$83)-LOOKUP(ROUNDDOWN(K$57/5, 0)*5,'2010ER'!$D$68:$D$83,'2010ER'!$Q$68:$Q$83))</f>
        <v>0.43964362174890587</v>
      </c>
      <c r="L74" s="175">
        <f>LOOKUP(ROUNDDOWN(L$57/5, 0)*5,'2010ER'!$D$68:$D$83,'2010ER'!$Q$68:$Q$83)+((L$57-ROUNDDOWN(L$57/5, 0)*5)/5)*(LOOKUP(ROUNDUP(L$57/5, 0)*5,'2010ER'!$D$68:$D$83,'2010ER'!$Q$68:$Q$83)-LOOKUP(ROUNDDOWN(L$57/5, 0)*5,'2010ER'!$D$68:$D$83,'2010ER'!$Q$68:$Q$83))</f>
        <v>0.43964362174890587</v>
      </c>
      <c r="M74" s="901"/>
      <c r="N74" s="301"/>
      <c r="O74" s="1123"/>
      <c r="P74" s="927"/>
    </row>
    <row r="75" spans="1:16" hidden="1" x14ac:dyDescent="0.25">
      <c r="A75" s="301"/>
      <c r="B75" s="302"/>
      <c r="C75" s="591" t="s">
        <v>467</v>
      </c>
      <c r="D75" s="392"/>
      <c r="E75" s="392"/>
      <c r="F75" s="392"/>
      <c r="G75" s="392"/>
      <c r="H75" s="897"/>
      <c r="I75" s="392"/>
      <c r="J75" s="392"/>
      <c r="K75" s="392"/>
      <c r="L75" s="392"/>
      <c r="M75" s="392"/>
      <c r="N75" s="301"/>
      <c r="O75" s="1123"/>
      <c r="P75" s="927"/>
    </row>
    <row r="76" spans="1:16" hidden="1" x14ac:dyDescent="0.25">
      <c r="A76" s="301"/>
      <c r="B76" s="302"/>
      <c r="C76" s="359" t="s">
        <v>348</v>
      </c>
      <c r="D76" s="176">
        <f>LOOKUP(ROUNDDOWN(D$58/5, 0)*5,'2010ER'!$D$4:$D$19,'2010ER'!$G$4:$G$19)+((D$58-ROUNDDOWN(D$58/5, 0)*5)/5)*(LOOKUP(ROUNDUP(D$58/5, 0)*5,'2010ER'!$D$4:$D$19,'2010ER'!$G$4:$G$19)-LOOKUP(ROUNDDOWN(D$58/5, 0)*5,'2010ER'!$D$4:$D$19,'2010ER'!$G$4:$G$19))</f>
        <v>370.28253664638061</v>
      </c>
      <c r="E76" s="176">
        <f>LOOKUP(ROUNDDOWN(E$58/5, 0)*5,'2010ER'!$D$4:$D$19,'2010ER'!$G$4:$G$19)+((E$58-ROUNDDOWN(E$58/5, 0)*5)/5)*(LOOKUP(ROUNDUP(E$58/5, 0)*5,'2010ER'!$D$4:$D$19,'2010ER'!$G$4:$G$19)-LOOKUP(ROUNDDOWN(E$58/5, 0)*5,'2010ER'!$D$4:$D$19,'2010ER'!$G$4:$G$19))</f>
        <v>462.99767462042649</v>
      </c>
      <c r="F76" s="176">
        <f>LOOKUP(ROUNDDOWN(F$58/5, 0)*5,'2010ER'!$D$4:$D$19,'2010ER'!$G$4:$G$19)+((F$58-ROUNDDOWN(F$58/5, 0)*5)/5)*(LOOKUP(ROUNDUP(F$58/5, 0)*5,'2010ER'!$D$4:$D$19,'2010ER'!$G$4:$G$19)-LOOKUP(ROUNDDOWN(F$58/5, 0)*5,'2010ER'!$D$4:$D$19,'2010ER'!$G$4:$G$19))</f>
        <v>365.72681510199982</v>
      </c>
      <c r="G76" s="176">
        <f>LOOKUP(ROUNDDOWN(G$58/5, 0)*5,'2010ER'!$D$4:$D$19,'2010ER'!$G$4:$G$19)+((G$58-ROUNDDOWN(G$58/5, 0)*5)/5)*(LOOKUP(ROUNDUP(G$58/5, 0)*5,'2010ER'!$D$4:$D$19,'2010ER'!$G$4:$G$19)-LOOKUP(ROUNDDOWN(G$58/5, 0)*5,'2010ER'!$D$4:$D$19,'2010ER'!$G$4:$G$19))</f>
        <v>432.1015952410811</v>
      </c>
      <c r="H76" s="909"/>
      <c r="I76" s="176">
        <f>LOOKUP(ROUNDDOWN(I$58/5, 0)*5,'2010ER'!$D$4:$D$19,'2010ER'!$G$4:$G$19)+((I$58-ROUNDDOWN(I$58/5, 0)*5)/5)*(LOOKUP(ROUNDUP(I$58/5, 0)*5,'2010ER'!$D$4:$D$19,'2010ER'!$G$4:$G$19)-LOOKUP(ROUNDDOWN(I$58/5, 0)*5,'2010ER'!$D$4:$D$19,'2010ER'!$G$4:$G$19))</f>
        <v>462.99767462042649</v>
      </c>
      <c r="J76" s="176">
        <f>LOOKUP(ROUNDDOWN(J$58/5, 0)*5,'2010ER'!$D$4:$D$19,'2010ER'!$G$4:$G$19)+((J$58-ROUNDDOWN(J$58/5, 0)*5)/5)*(LOOKUP(ROUNDUP(J$58/5, 0)*5,'2010ER'!$D$4:$D$19,'2010ER'!$G$4:$G$19)-LOOKUP(ROUNDDOWN(J$58/5, 0)*5,'2010ER'!$D$4:$D$19,'2010ER'!$G$4:$G$19))</f>
        <v>392.99632317440478</v>
      </c>
      <c r="K76" s="176">
        <f>LOOKUP(ROUNDDOWN(K$58/5, 0)*5,'2010ER'!$D$4:$D$19,'2010ER'!$G$4:$G$19)+((K$58-ROUNDDOWN(K$58/5, 0)*5)/5)*(LOOKUP(ROUNDUP(K$58/5, 0)*5,'2010ER'!$D$4:$D$19,'2010ER'!$G$4:$G$19)-LOOKUP(ROUNDDOWN(K$58/5, 0)*5,'2010ER'!$D$4:$D$19,'2010ER'!$G$4:$G$19))</f>
        <v>432.1015952410811</v>
      </c>
      <c r="L76" s="176">
        <f>LOOKUP(ROUNDDOWN(L$58/5, 0)*5,'2010ER'!$D$4:$D$19,'2010ER'!$G$4:$G$19)+((L$58-ROUNDDOWN(L$58/5, 0)*5)/5)*(LOOKUP(ROUNDUP(L$58/5, 0)*5,'2010ER'!$D$4:$D$19,'2010ER'!$G$4:$G$19)-LOOKUP(ROUNDDOWN(L$58/5, 0)*5,'2010ER'!$D$4:$D$19,'2010ER'!$G$4:$G$19))</f>
        <v>365.72681510199982</v>
      </c>
      <c r="M76" s="902"/>
      <c r="N76" s="301"/>
      <c r="O76" s="1123"/>
      <c r="P76" s="927"/>
    </row>
    <row r="77" spans="1:16" hidden="1" x14ac:dyDescent="0.25">
      <c r="A77" s="301"/>
      <c r="B77" s="302"/>
      <c r="C77" s="359" t="s">
        <v>351</v>
      </c>
      <c r="D77" s="176">
        <f>LOOKUP(ROUNDDOWN(D$58/5, 0)*5,'2010ER'!$D$20:$D$35,'2010ER'!$G$20:$G$35)+((D$58-ROUNDDOWN(D$58/5, 0)*5)/5)*(LOOKUP(ROUNDUP(D$58/5, 0)*5,'2010ER'!$D$20:$D$35,'2010ER'!$G$20:$G$35)-LOOKUP(ROUNDDOWN(D$58/5, 0)*5,'2010ER'!$D$20:$D$35,'2010ER'!$G$20:$G$35))</f>
        <v>0.68852658353051499</v>
      </c>
      <c r="E77" s="176">
        <f>LOOKUP(ROUNDDOWN(E$58/5, 0)*5,'2010ER'!$D$20:$D$35,'2010ER'!$G$20:$G$35)+((E$58-ROUNDDOWN(E$58/5, 0)*5)/5)*(LOOKUP(ROUNDUP(E$58/5, 0)*5,'2010ER'!$D$20:$D$35,'2010ER'!$G$20:$G$35)-LOOKUP(ROUNDDOWN(E$58/5, 0)*5,'2010ER'!$D$20:$D$35,'2010ER'!$G$20:$G$35))</f>
        <v>0.6459483284361871</v>
      </c>
      <c r="F77" s="176">
        <f>LOOKUP(ROUNDDOWN(F$58/5, 0)*5,'2010ER'!$D$20:$D$35,'2010ER'!$G$20:$G$35)+((F$58-ROUNDDOWN(F$58/5, 0)*5)/5)*(LOOKUP(ROUNDUP(F$58/5, 0)*5,'2010ER'!$D$20:$D$35,'2010ER'!$G$20:$G$35)-LOOKUP(ROUNDDOWN(F$58/5, 0)*5,'2010ER'!$D$20:$D$35,'2010ER'!$G$20:$G$35))</f>
        <v>0.69519794224842679</v>
      </c>
      <c r="G77" s="176">
        <f>LOOKUP(ROUNDDOWN(G$58/5, 0)*5,'2010ER'!$D$20:$D$35,'2010ER'!$G$20:$G$35)+((G$58-ROUNDDOWN(G$58/5, 0)*5)/5)*(LOOKUP(ROUNDUP(G$58/5, 0)*5,'2010ER'!$D$20:$D$35,'2010ER'!$G$20:$G$35)-LOOKUP(ROUNDDOWN(G$58/5, 0)*5,'2010ER'!$D$20:$D$35,'2010ER'!$G$20:$G$35))</f>
        <v>0.63808111662344102</v>
      </c>
      <c r="H77" s="909"/>
      <c r="I77" s="176">
        <f>LOOKUP(ROUNDDOWN(I$58/5, 0)*5,'2010ER'!$D$20:$D$35,'2010ER'!$G$20:$G$35)+((I$58-ROUNDDOWN(I$58/5, 0)*5)/5)*(LOOKUP(ROUNDUP(I$58/5, 0)*5,'2010ER'!$D$20:$D$35,'2010ER'!$G$20:$G$35)-LOOKUP(ROUNDDOWN(I$58/5, 0)*5,'2010ER'!$D$20:$D$35,'2010ER'!$G$20:$G$35))</f>
        <v>0.6459483284361871</v>
      </c>
      <c r="J77" s="176">
        <f>LOOKUP(ROUNDDOWN(J$58/5, 0)*5,'2010ER'!$D$20:$D$35,'2010ER'!$G$20:$G$35)+((J$58-ROUNDDOWN(J$58/5, 0)*5)/5)*(LOOKUP(ROUNDUP(J$58/5, 0)*5,'2010ER'!$D$20:$D$35,'2010ER'!$G$20:$G$35)-LOOKUP(ROUNDDOWN(J$58/5, 0)*5,'2010ER'!$D$20:$D$35,'2010ER'!$G$20:$G$35))</f>
        <v>0.68653874178380525</v>
      </c>
      <c r="K77" s="176">
        <f>LOOKUP(ROUNDDOWN(K$58/5, 0)*5,'2010ER'!$D$20:$D$35,'2010ER'!$G$20:$G$35)+((K$58-ROUNDDOWN(K$58/5, 0)*5)/5)*(LOOKUP(ROUNDUP(K$58/5, 0)*5,'2010ER'!$D$20:$D$35,'2010ER'!$G$20:$G$35)-LOOKUP(ROUNDDOWN(K$58/5, 0)*5,'2010ER'!$D$20:$D$35,'2010ER'!$G$20:$G$35))</f>
        <v>0.63808111662344102</v>
      </c>
      <c r="L77" s="176">
        <f>LOOKUP(ROUNDDOWN(L$58/5, 0)*5,'2010ER'!$D$20:$D$35,'2010ER'!$G$20:$G$35)+((L$58-ROUNDDOWN(L$58/5, 0)*5)/5)*(LOOKUP(ROUNDUP(L$58/5, 0)*5,'2010ER'!$D$20:$D$35,'2010ER'!$G$20:$G$35)-LOOKUP(ROUNDDOWN(L$58/5, 0)*5,'2010ER'!$D$20:$D$35,'2010ER'!$G$20:$G$35))</f>
        <v>0.69519794224842679</v>
      </c>
      <c r="M77" s="902"/>
      <c r="N77" s="301"/>
      <c r="O77" s="1123"/>
      <c r="P77" s="927"/>
    </row>
    <row r="78" spans="1:16" hidden="1" x14ac:dyDescent="0.25">
      <c r="A78" s="301"/>
      <c r="B78" s="302"/>
      <c r="C78" s="359" t="s">
        <v>377</v>
      </c>
      <c r="D78" s="176">
        <f>LOOKUP(ROUNDDOWN(D$58/5, 0)*5,'2010ER'!$D$36:$D$51,'2010ER'!$G$36:$G$51)+((D$58-ROUNDDOWN(D$58/5, 0)*5)/5)*(LOOKUP(ROUNDUP(D$58/5, 0)*5,'2010ER'!$D$36:$D$51,'2010ER'!$G$36:$G$51)-LOOKUP(ROUNDDOWN(D$58/5, 0)*5,'2010ER'!$D$36:$D$51,'2010ER'!$G$36:$G$51))</f>
        <v>1.8367445672899167E-2</v>
      </c>
      <c r="E78" s="176">
        <f>LOOKUP(ROUNDDOWN(E$58/5, 0)*5,'2010ER'!$D$36:$D$51,'2010ER'!$G$36:$G$51)+((E$58-ROUNDDOWN(E$58/5, 0)*5)/5)*(LOOKUP(ROUNDUP(E$58/5, 0)*5,'2010ER'!$D$36:$D$51,'2010ER'!$G$36:$G$51)-LOOKUP(ROUNDDOWN(E$58/5, 0)*5,'2010ER'!$D$36:$D$51,'2010ER'!$G$36:$G$51))</f>
        <v>2.3611967144691513E-2</v>
      </c>
      <c r="F78" s="176">
        <f>LOOKUP(ROUNDDOWN(F$58/5, 0)*5,'2010ER'!$D$36:$D$51,'2010ER'!$G$36:$G$51)+((F$58-ROUNDDOWN(F$58/5, 0)*5)/5)*(LOOKUP(ROUNDUP(F$58/5, 0)*5,'2010ER'!$D$36:$D$51,'2010ER'!$G$36:$G$51)-LOOKUP(ROUNDDOWN(F$58/5, 0)*5,'2010ER'!$D$36:$D$51,'2010ER'!$G$36:$G$51))</f>
        <v>1.6959057219478268E-2</v>
      </c>
      <c r="G78" s="176">
        <f>LOOKUP(ROUNDDOWN(G$58/5, 0)*5,'2010ER'!$D$36:$D$51,'2010ER'!$G$36:$G$51)+((G$58-ROUNDDOWN(G$58/5, 0)*5)/5)*(LOOKUP(ROUNDUP(G$58/5, 0)*5,'2010ER'!$D$36:$D$51,'2010ER'!$G$36:$G$51)-LOOKUP(ROUNDDOWN(G$58/5, 0)*5,'2010ER'!$D$36:$D$51,'2010ER'!$G$36:$G$51))</f>
        <v>2.1493722693220557E-2</v>
      </c>
      <c r="H78" s="909"/>
      <c r="I78" s="176">
        <f>LOOKUP(ROUNDDOWN(I$58/5, 0)*5,'2010ER'!$D$36:$D$51,'2010ER'!$G$36:$G$51)+((I$58-ROUNDDOWN(I$58/5, 0)*5)/5)*(LOOKUP(ROUNDUP(I$58/5, 0)*5,'2010ER'!$D$36:$D$51,'2010ER'!$G$36:$G$51)-LOOKUP(ROUNDDOWN(I$58/5, 0)*5,'2010ER'!$D$36:$D$51,'2010ER'!$G$36:$G$51))</f>
        <v>2.3611967144691513E-2</v>
      </c>
      <c r="J78" s="176">
        <f>LOOKUP(ROUNDDOWN(J$58/5, 0)*5,'2010ER'!$D$36:$D$51,'2010ER'!$G$36:$G$51)+((J$58-ROUNDDOWN(J$58/5, 0)*5)/5)*(LOOKUP(ROUNDUP(J$58/5, 0)*5,'2010ER'!$D$36:$D$51,'2010ER'!$G$36:$G$51)-LOOKUP(ROUNDDOWN(J$58/5, 0)*5,'2010ER'!$D$36:$D$51,'2010ER'!$G$36:$G$51))</f>
        <v>2.136515727709077E-2</v>
      </c>
      <c r="K78" s="176">
        <f>LOOKUP(ROUNDDOWN(K$58/5, 0)*5,'2010ER'!$D$36:$D$51,'2010ER'!$G$36:$G$51)+((K$58-ROUNDDOWN(K$58/5, 0)*5)/5)*(LOOKUP(ROUNDUP(K$58/5, 0)*5,'2010ER'!$D$36:$D$51,'2010ER'!$G$36:$G$51)-LOOKUP(ROUNDDOWN(K$58/5, 0)*5,'2010ER'!$D$36:$D$51,'2010ER'!$G$36:$G$51))</f>
        <v>2.1493722693220557E-2</v>
      </c>
      <c r="L78" s="176">
        <f>LOOKUP(ROUNDDOWN(L$58/5, 0)*5,'2010ER'!$D$36:$D$51,'2010ER'!$G$36:$G$51)+((L$58-ROUNDDOWN(L$58/5, 0)*5)/5)*(LOOKUP(ROUNDUP(L$58/5, 0)*5,'2010ER'!$D$36:$D$51,'2010ER'!$G$36:$G$51)-LOOKUP(ROUNDDOWN(L$58/5, 0)*5,'2010ER'!$D$36:$D$51,'2010ER'!$G$36:$G$51))</f>
        <v>1.6959057219478268E-2</v>
      </c>
      <c r="M78" s="902"/>
      <c r="N78" s="301"/>
      <c r="O78" s="1123"/>
      <c r="P78" s="927"/>
    </row>
    <row r="79" spans="1:16" hidden="1" x14ac:dyDescent="0.25">
      <c r="A79" s="301"/>
      <c r="B79" s="302"/>
      <c r="C79" s="359" t="s">
        <v>426</v>
      </c>
      <c r="D79" s="176">
        <f>LOOKUP(ROUNDDOWN(D$58/5, 0)*5,'2010ER'!$D$52:$D$67,'2010ER'!$G$52:$G$67)+((D$58-ROUNDDOWN(D$58/5, 0)*5)/5)*(LOOKUP(ROUNDUP(D$58/5, 0)*5,'2010ER'!$D$52:$D$67,'2010ER'!$G$52:$G$67)-LOOKUP(ROUNDDOWN(D$58/5, 0)*5,'2010ER'!$D$52:$D$67,'2010ER'!$G$52:$G$67))</f>
        <v>0.6611373200560885</v>
      </c>
      <c r="E79" s="176">
        <f>LOOKUP(ROUNDDOWN(E$58/5, 0)*5,'2010ER'!$D$52:$D$67,'2010ER'!$G$52:$G$67)+((E$58-ROUNDDOWN(E$58/5, 0)*5)/5)*(LOOKUP(ROUNDUP(E$58/5, 0)*5,'2010ER'!$D$52:$D$67,'2010ER'!$G$52:$G$67)-LOOKUP(ROUNDDOWN(E$58/5, 0)*5,'2010ER'!$D$52:$D$67,'2010ER'!$G$52:$G$67))</f>
        <v>0.64273062035547623</v>
      </c>
      <c r="F79" s="176">
        <f>LOOKUP(ROUNDDOWN(F$58/5, 0)*5,'2010ER'!$D$52:$D$67,'2010ER'!$G$52:$G$67)+((F$58-ROUNDDOWN(F$58/5, 0)*5)/5)*(LOOKUP(ROUNDUP(F$58/5, 0)*5,'2010ER'!$D$52:$D$67,'2010ER'!$G$52:$G$67)-LOOKUP(ROUNDDOWN(F$58/5, 0)*5,'2010ER'!$D$52:$D$67,'2010ER'!$G$52:$G$67))</f>
        <v>0.66446221366311387</v>
      </c>
      <c r="G79" s="176">
        <f>LOOKUP(ROUNDDOWN(G$58/5, 0)*5,'2010ER'!$D$52:$D$67,'2010ER'!$G$52:$G$67)+((G$58-ROUNDDOWN(G$58/5, 0)*5)/5)*(LOOKUP(ROUNDUP(G$58/5, 0)*5,'2010ER'!$D$52:$D$67,'2010ER'!$G$52:$G$67)-LOOKUP(ROUNDDOWN(G$58/5, 0)*5,'2010ER'!$D$52:$D$67,'2010ER'!$G$52:$G$67))</f>
        <v>0.62525350703110849</v>
      </c>
      <c r="H79" s="909"/>
      <c r="I79" s="176">
        <f>LOOKUP(ROUNDDOWN(I$58/5, 0)*5,'2010ER'!$D$52:$D$67,'2010ER'!$G$52:$G$67)+((I$58-ROUNDDOWN(I$58/5, 0)*5)/5)*(LOOKUP(ROUNDUP(I$58/5, 0)*5,'2010ER'!$D$52:$D$67,'2010ER'!$G$52:$G$67)-LOOKUP(ROUNDDOWN(I$58/5, 0)*5,'2010ER'!$D$52:$D$67,'2010ER'!$G$52:$G$67))</f>
        <v>0.64273062035547623</v>
      </c>
      <c r="J79" s="176">
        <f>LOOKUP(ROUNDDOWN(J$58/5, 0)*5,'2010ER'!$D$52:$D$67,'2010ER'!$G$52:$G$67)+((J$58-ROUNDDOWN(J$58/5, 0)*5)/5)*(LOOKUP(ROUNDUP(J$58/5, 0)*5,'2010ER'!$D$52:$D$67,'2010ER'!$G$52:$G$67)-LOOKUP(ROUNDDOWN(J$58/5, 0)*5,'2010ER'!$D$52:$D$67,'2010ER'!$G$52:$G$67))</f>
        <v>0.66396318032303325</v>
      </c>
      <c r="K79" s="176">
        <f>LOOKUP(ROUNDDOWN(K$58/5, 0)*5,'2010ER'!$D$52:$D$67,'2010ER'!$G$52:$G$67)+((K$58-ROUNDDOWN(K$58/5, 0)*5)/5)*(LOOKUP(ROUNDUP(K$58/5, 0)*5,'2010ER'!$D$52:$D$67,'2010ER'!$G$52:$G$67)-LOOKUP(ROUNDDOWN(K$58/5, 0)*5,'2010ER'!$D$52:$D$67,'2010ER'!$G$52:$G$67))</f>
        <v>0.62525350703110849</v>
      </c>
      <c r="L79" s="176">
        <f>LOOKUP(ROUNDDOWN(L$58/5, 0)*5,'2010ER'!$D$52:$D$67,'2010ER'!$G$52:$G$67)+((L$58-ROUNDDOWN(L$58/5, 0)*5)/5)*(LOOKUP(ROUNDUP(L$58/5, 0)*5,'2010ER'!$D$52:$D$67,'2010ER'!$G$52:$G$67)-LOOKUP(ROUNDDOWN(L$58/5, 0)*5,'2010ER'!$D$52:$D$67,'2010ER'!$G$52:$G$67))</f>
        <v>0.66446221366311387</v>
      </c>
      <c r="M79" s="902"/>
      <c r="N79" s="301"/>
      <c r="O79" s="1123"/>
      <c r="P79" s="927"/>
    </row>
    <row r="80" spans="1:16" hidden="1" x14ac:dyDescent="0.25">
      <c r="A80" s="301"/>
      <c r="B80" s="302"/>
      <c r="C80" s="359" t="s">
        <v>424</v>
      </c>
      <c r="D80" s="176">
        <f>LOOKUP(ROUNDDOWN(D$58/5, 0)*5,'2010ER'!$D$68:$D$83,'2010ER'!$G$68:$G$83)+((D$58-ROUNDDOWN(D$58/5, 0)*5)/5)*(LOOKUP(ROUNDUP(D$58/5, 0)*5,'2010ER'!$D$68:$D$83,'2010ER'!$G$68:$G$83)-LOOKUP(ROUNDDOWN(D$58/5, 0)*5,'2010ER'!$D$68:$D$83,'2010ER'!$G$68:$G$83))</f>
        <v>0.19711068690429528</v>
      </c>
      <c r="E80" s="176">
        <f>LOOKUP(ROUNDDOWN(E$58/5, 0)*5,'2010ER'!$D$68:$D$83,'2010ER'!$G$68:$G$83)+((E$58-ROUNDDOWN(E$58/5, 0)*5)/5)*(LOOKUP(ROUNDUP(E$58/5, 0)*5,'2010ER'!$D$68:$D$83,'2010ER'!$G$68:$G$83)-LOOKUP(ROUNDDOWN(E$58/5, 0)*5,'2010ER'!$D$68:$D$83,'2010ER'!$G$68:$G$83))</f>
        <v>0.3261125681696917</v>
      </c>
      <c r="F80" s="176">
        <f>LOOKUP(ROUNDDOWN(F$58/5, 0)*5,'2010ER'!$D$68:$D$83,'2010ER'!$G$68:$G$83)+((F$58-ROUNDDOWN(F$58/5, 0)*5)/5)*(LOOKUP(ROUNDUP(F$58/5, 0)*5,'2010ER'!$D$68:$D$83,'2010ER'!$G$68:$G$83)-LOOKUP(ROUNDDOWN(F$58/5, 0)*5,'2010ER'!$D$68:$D$83,'2010ER'!$G$68:$G$83))</f>
        <v>0.18672739862933579</v>
      </c>
      <c r="G80" s="176">
        <f>LOOKUP(ROUNDDOWN(G$58/5, 0)*5,'2010ER'!$D$68:$D$83,'2010ER'!$G$68:$G$83)+((G$58-ROUNDDOWN(G$58/5, 0)*5)/5)*(LOOKUP(ROUNDUP(G$58/5, 0)*5,'2010ER'!$D$68:$D$83,'2010ER'!$G$68:$G$83)-LOOKUP(ROUNDDOWN(G$58/5, 0)*5,'2010ER'!$D$68:$D$83,'2010ER'!$G$68:$G$83))</f>
        <v>0.29224271186472617</v>
      </c>
      <c r="H80" s="909"/>
      <c r="I80" s="176">
        <f>LOOKUP(ROUNDDOWN(I$58/5, 0)*5,'2010ER'!$D$68:$D$83,'2010ER'!$G$68:$G$83)+((I$58-ROUNDDOWN(I$58/5, 0)*5)/5)*(LOOKUP(ROUNDUP(I$58/5, 0)*5,'2010ER'!$D$68:$D$83,'2010ER'!$G$68:$G$83)-LOOKUP(ROUNDDOWN(I$58/5, 0)*5,'2010ER'!$D$68:$D$83,'2010ER'!$G$68:$G$83))</f>
        <v>0.3261125681696917</v>
      </c>
      <c r="J80" s="176">
        <f>LOOKUP(ROUNDDOWN(J$58/5, 0)*5,'2010ER'!$D$68:$D$83,'2010ER'!$G$68:$G$83)+((J$58-ROUNDDOWN(J$58/5, 0)*5)/5)*(LOOKUP(ROUNDUP(J$58/5, 0)*5,'2010ER'!$D$68:$D$83,'2010ER'!$G$68:$G$83)-LOOKUP(ROUNDDOWN(J$58/5, 0)*5,'2010ER'!$D$68:$D$83,'2010ER'!$G$68:$G$83))</f>
        <v>0.22963036782356355</v>
      </c>
      <c r="K80" s="176">
        <f>LOOKUP(ROUNDDOWN(K$58/5, 0)*5,'2010ER'!$D$68:$D$83,'2010ER'!$G$68:$G$83)+((K$58-ROUNDDOWN(K$58/5, 0)*5)/5)*(LOOKUP(ROUNDUP(K$58/5, 0)*5,'2010ER'!$D$68:$D$83,'2010ER'!$G$68:$G$83)-LOOKUP(ROUNDDOWN(K$58/5, 0)*5,'2010ER'!$D$68:$D$83,'2010ER'!$G$68:$G$83))</f>
        <v>0.29224271186472617</v>
      </c>
      <c r="L80" s="176">
        <f>LOOKUP(ROUNDDOWN(L$58/5, 0)*5,'2010ER'!$D$68:$D$83,'2010ER'!$G$68:$G$83)+((L$58-ROUNDDOWN(L$58/5, 0)*5)/5)*(LOOKUP(ROUNDUP(L$58/5, 0)*5,'2010ER'!$D$68:$D$83,'2010ER'!$G$68:$G$83)-LOOKUP(ROUNDDOWN(L$58/5, 0)*5,'2010ER'!$D$68:$D$83,'2010ER'!$G$68:$G$83))</f>
        <v>0.18672739862933579</v>
      </c>
      <c r="M80" s="902"/>
      <c r="N80" s="301"/>
      <c r="O80" s="1123"/>
      <c r="P80" s="927"/>
    </row>
    <row r="81" spans="1:16" hidden="1" x14ac:dyDescent="0.25">
      <c r="A81" s="301"/>
      <c r="B81" s="302"/>
      <c r="C81" s="359" t="s">
        <v>451</v>
      </c>
      <c r="D81" s="176">
        <f>LOOKUP(ROUNDDOWN(D$58/5, 0)*5,'2010ER'!$D$4:$D$19,'2010ER'!$L$4:$L$19)+((D$58-ROUNDDOWN(D$58/5, 0)*5)/5)*(LOOKUP(ROUNDUP(D$58/5, 0)*5,'2010ER'!$D$4:$D$19,'2010ER'!$L$4:$L$19)-LOOKUP(ROUNDDOWN(D$58/5, 0)*5,'2010ER'!$D$4:$D$19,'2010ER'!$L$4:$L$19))</f>
        <v>1224.1791357614802</v>
      </c>
      <c r="E81" s="176">
        <f>LOOKUP(ROUNDDOWN(E$58/5, 0)*5,'2010ER'!$D$4:$D$19,'2010ER'!$L$4:$L$19)+((E$58-ROUNDDOWN(E$58/5, 0)*5)/5)*(LOOKUP(ROUNDUP(E$58/5, 0)*5,'2010ER'!$D$4:$D$19,'2010ER'!$L$4:$L$19)-LOOKUP(ROUNDDOWN(E$58/5, 0)*5,'2010ER'!$D$4:$D$19,'2010ER'!$L$4:$L$19))</f>
        <v>1744.2021765794586</v>
      </c>
      <c r="F81" s="176">
        <f>LOOKUP(ROUNDDOWN(F$58/5, 0)*5,'2010ER'!$D$4:$D$19,'2010ER'!$L$4:$L$19)+((F$58-ROUNDDOWN(F$58/5, 0)*5)/5)*(LOOKUP(ROUNDUP(F$58/5, 0)*5,'2010ER'!$D$4:$D$19,'2010ER'!$L$4:$L$19)-LOOKUP(ROUNDDOWN(F$58/5, 0)*5,'2010ER'!$D$4:$D$19,'2010ER'!$L$4:$L$19))</f>
        <v>1216.133438523002</v>
      </c>
      <c r="G81" s="176">
        <f>LOOKUP(ROUNDDOWN(G$58/5, 0)*5,'2010ER'!$D$4:$D$19,'2010ER'!$L$4:$L$19)+((G$58-ROUNDDOWN(G$58/5, 0)*5)/5)*(LOOKUP(ROUNDUP(G$58/5, 0)*5,'2010ER'!$D$4:$D$19,'2010ER'!$L$4:$L$19)-LOOKUP(ROUNDDOWN(G$58/5, 0)*5,'2010ER'!$D$4:$D$19,'2010ER'!$L$4:$L$19))</f>
        <v>1656.6328402844283</v>
      </c>
      <c r="H81" s="909"/>
      <c r="I81" s="176">
        <f>LOOKUP(ROUNDDOWN(I$58/5, 0)*5,'2010ER'!$D$4:$D$19,'2010ER'!$L$4:$L$19)+((I$58-ROUNDDOWN(I$58/5, 0)*5)/5)*(LOOKUP(ROUNDUP(I$58/5, 0)*5,'2010ER'!$D$4:$D$19,'2010ER'!$L$4:$L$19)-LOOKUP(ROUNDDOWN(I$58/5, 0)*5,'2010ER'!$D$4:$D$19,'2010ER'!$L$4:$L$19))</f>
        <v>1744.2021765794586</v>
      </c>
      <c r="J81" s="176">
        <f>LOOKUP(ROUNDDOWN(J$58/5, 0)*5,'2010ER'!$D$4:$D$19,'2010ER'!$L$4:$L$19)+((J$58-ROUNDDOWN(J$58/5, 0)*5)/5)*(LOOKUP(ROUNDUP(J$58/5, 0)*5,'2010ER'!$D$4:$D$19,'2010ER'!$L$4:$L$19)-LOOKUP(ROUNDDOWN(J$58/5, 0)*5,'2010ER'!$D$4:$D$19,'2010ER'!$L$4:$L$19))</f>
        <v>1326.4932683385373</v>
      </c>
      <c r="K81" s="176">
        <f>LOOKUP(ROUNDDOWN(K$58/5, 0)*5,'2010ER'!$D$4:$D$19,'2010ER'!$L$4:$L$19)+((K$58-ROUNDDOWN(K$58/5, 0)*5)/5)*(LOOKUP(ROUNDUP(K$58/5, 0)*5,'2010ER'!$D$4:$D$19,'2010ER'!$L$4:$L$19)-LOOKUP(ROUNDDOWN(K$58/5, 0)*5,'2010ER'!$D$4:$D$19,'2010ER'!$L$4:$L$19))</f>
        <v>1656.6328402844283</v>
      </c>
      <c r="L81" s="176">
        <f>LOOKUP(ROUNDDOWN(L$58/5, 0)*5,'2010ER'!$D$4:$D$19,'2010ER'!$L$4:$L$19)+((L$58-ROUNDDOWN(L$58/5, 0)*5)/5)*(LOOKUP(ROUNDUP(L$58/5, 0)*5,'2010ER'!$D$4:$D$19,'2010ER'!$L$4:$L$19)-LOOKUP(ROUNDDOWN(L$58/5, 0)*5,'2010ER'!$D$4:$D$19,'2010ER'!$L$4:$L$19))</f>
        <v>1216.133438523002</v>
      </c>
      <c r="M81" s="902"/>
      <c r="N81" s="301"/>
      <c r="O81" s="1123"/>
      <c r="P81" s="927"/>
    </row>
    <row r="82" spans="1:16" hidden="1" x14ac:dyDescent="0.25">
      <c r="A82" s="301"/>
      <c r="B82" s="302"/>
      <c r="C82" s="359" t="s">
        <v>452</v>
      </c>
      <c r="D82" s="176">
        <f>LOOKUP(ROUNDDOWN(D$58/5, 0)*5,'2010ER'!$D$20:$D$35,'2010ER'!$L$20:$L$35)+((D$58-ROUNDDOWN(D$58/5, 0)*5)/5)*(LOOKUP(ROUNDUP(D$58/5, 0)*5,'2010ER'!$D$20:$D$35,'2010ER'!$L$20:$L$35)-LOOKUP(ROUNDDOWN(D$58/5, 0)*5,'2010ER'!$D$20:$D$35,'2010ER'!$L$20:$L$35))</f>
        <v>10.440413264837028</v>
      </c>
      <c r="E82" s="176">
        <f>LOOKUP(ROUNDDOWN(E$58/5, 0)*5,'2010ER'!$D$20:$D$35,'2010ER'!$L$20:$L$35)+((E$58-ROUNDDOWN(E$58/5, 0)*5)/5)*(LOOKUP(ROUNDUP(E$58/5, 0)*5,'2010ER'!$D$20:$D$35,'2010ER'!$L$20:$L$35)-LOOKUP(ROUNDDOWN(E$58/5, 0)*5,'2010ER'!$D$20:$D$35,'2010ER'!$L$20:$L$35))</f>
        <v>15.091131051767613</v>
      </c>
      <c r="F82" s="176">
        <f>LOOKUP(ROUNDDOWN(F$58/5, 0)*5,'2010ER'!$D$20:$D$35,'2010ER'!$L$20:$L$35)+((F$58-ROUNDDOWN(F$58/5, 0)*5)/5)*(LOOKUP(ROUNDUP(F$58/5, 0)*5,'2010ER'!$D$20:$D$35,'2010ER'!$L$20:$L$35)-LOOKUP(ROUNDDOWN(F$58/5, 0)*5,'2010ER'!$D$20:$D$35,'2010ER'!$L$20:$L$35))</f>
        <v>10.501381386463679</v>
      </c>
      <c r="G82" s="176">
        <f>LOOKUP(ROUNDDOWN(G$58/5, 0)*5,'2010ER'!$D$20:$D$35,'2010ER'!$L$20:$L$35)+((G$58-ROUNDDOWN(G$58/5, 0)*5)/5)*(LOOKUP(ROUNDUP(G$58/5, 0)*5,'2010ER'!$D$20:$D$35,'2010ER'!$L$20:$L$35)-LOOKUP(ROUNDDOWN(G$58/5, 0)*5,'2010ER'!$D$20:$D$35,'2010ER'!$L$20:$L$35))</f>
        <v>14.256588973116335</v>
      </c>
      <c r="H82" s="909"/>
      <c r="I82" s="176">
        <f>LOOKUP(ROUNDDOWN(I$58/5, 0)*5,'2010ER'!$D$20:$D$35,'2010ER'!$L$20:$L$35)+((I$58-ROUNDDOWN(I$58/5, 0)*5)/5)*(LOOKUP(ROUNDUP(I$58/5, 0)*5,'2010ER'!$D$20:$D$35,'2010ER'!$L$20:$L$35)-LOOKUP(ROUNDDOWN(I$58/5, 0)*5,'2010ER'!$D$20:$D$35,'2010ER'!$L$20:$L$35))</f>
        <v>15.091131051767613</v>
      </c>
      <c r="J82" s="176">
        <f>LOOKUP(ROUNDDOWN(J$58/5, 0)*5,'2010ER'!$D$20:$D$35,'2010ER'!$L$20:$L$35)+((J$58-ROUNDDOWN(J$58/5, 0)*5)/5)*(LOOKUP(ROUNDUP(J$58/5, 0)*5,'2010ER'!$D$20:$D$35,'2010ER'!$L$20:$L$35)-LOOKUP(ROUNDDOWN(J$58/5, 0)*5,'2010ER'!$D$20:$D$35,'2010ER'!$L$20:$L$35))</f>
        <v>11.331535762715557</v>
      </c>
      <c r="K82" s="176">
        <f>LOOKUP(ROUNDDOWN(K$58/5, 0)*5,'2010ER'!$D$20:$D$35,'2010ER'!$L$20:$L$35)+((K$58-ROUNDDOWN(K$58/5, 0)*5)/5)*(LOOKUP(ROUNDUP(K$58/5, 0)*5,'2010ER'!$D$20:$D$35,'2010ER'!$L$20:$L$35)-LOOKUP(ROUNDDOWN(K$58/5, 0)*5,'2010ER'!$D$20:$D$35,'2010ER'!$L$20:$L$35))</f>
        <v>14.256588973116335</v>
      </c>
      <c r="L82" s="176">
        <f>LOOKUP(ROUNDDOWN(L$58/5, 0)*5,'2010ER'!$D$20:$D$35,'2010ER'!$L$20:$L$35)+((L$58-ROUNDDOWN(L$58/5, 0)*5)/5)*(LOOKUP(ROUNDUP(L$58/5, 0)*5,'2010ER'!$D$20:$D$35,'2010ER'!$L$20:$L$35)-LOOKUP(ROUNDDOWN(L$58/5, 0)*5,'2010ER'!$D$20:$D$35,'2010ER'!$L$20:$L$35))</f>
        <v>10.501381386463679</v>
      </c>
      <c r="M82" s="902"/>
      <c r="N82" s="301"/>
      <c r="O82" s="1123"/>
      <c r="P82" s="927"/>
    </row>
    <row r="83" spans="1:16" hidden="1" x14ac:dyDescent="0.25">
      <c r="A83" s="301"/>
      <c r="B83" s="302"/>
      <c r="C83" s="359" t="s">
        <v>453</v>
      </c>
      <c r="D83" s="176">
        <f>LOOKUP(ROUNDDOWN(D$58/5, 0)*5,'2010ER'!$D$36:$D$51,'2010ER'!$L$36:$L$51)+((D$58-ROUNDDOWN(D$58/5, 0)*5)/5)*(LOOKUP(ROUNDUP(D$58/5, 0)*5,'2010ER'!$D$36:$D$51,'2010ER'!$L$36:$L$51)-LOOKUP(ROUNDDOWN(D$58/5, 0)*5,'2010ER'!$D$36:$D$51,'2010ER'!$L$36:$L$51))</f>
        <v>0.50181011006379195</v>
      </c>
      <c r="E83" s="176">
        <f>LOOKUP(ROUNDDOWN(E$58/5, 0)*5,'2010ER'!$D$36:$D$51,'2010ER'!$L$36:$L$51)+((E$58-ROUNDDOWN(E$58/5, 0)*5)/5)*(LOOKUP(ROUNDUP(E$58/5, 0)*5,'2010ER'!$D$36:$D$51,'2010ER'!$L$36:$L$51)-LOOKUP(ROUNDDOWN(E$58/5, 0)*5,'2010ER'!$D$36:$D$51,'2010ER'!$L$36:$L$51))</f>
        <v>0.90484680597749678</v>
      </c>
      <c r="F83" s="176">
        <f>LOOKUP(ROUNDDOWN(F$58/5, 0)*5,'2010ER'!$D$36:$D$51,'2010ER'!$L$36:$L$51)+((F$58-ROUNDDOWN(F$58/5, 0)*5)/5)*(LOOKUP(ROUNDUP(F$58/5, 0)*5,'2010ER'!$D$36:$D$51,'2010ER'!$L$36:$L$51)-LOOKUP(ROUNDDOWN(F$58/5, 0)*5,'2010ER'!$D$36:$D$51,'2010ER'!$L$36:$L$51))</f>
        <v>0.471061862459978</v>
      </c>
      <c r="G83" s="176">
        <f>LOOKUP(ROUNDDOWN(G$58/5, 0)*5,'2010ER'!$D$36:$D$51,'2010ER'!$L$36:$L$51)+((G$58-ROUNDDOWN(G$58/5, 0)*5)/5)*(LOOKUP(ROUNDUP(G$58/5, 0)*5,'2010ER'!$D$36:$D$51,'2010ER'!$L$36:$L$51)-LOOKUP(ROUNDDOWN(G$58/5, 0)*5,'2010ER'!$D$36:$D$51,'2010ER'!$L$36:$L$51))</f>
        <v>0.85520500645419884</v>
      </c>
      <c r="H83" s="909"/>
      <c r="I83" s="176">
        <f>LOOKUP(ROUNDDOWN(I$58/5, 0)*5,'2010ER'!$D$36:$D$51,'2010ER'!$L$36:$L$51)+((I$58-ROUNDDOWN(I$58/5, 0)*5)/5)*(LOOKUP(ROUNDUP(I$58/5, 0)*5,'2010ER'!$D$36:$D$51,'2010ER'!$L$36:$L$51)-LOOKUP(ROUNDDOWN(I$58/5, 0)*5,'2010ER'!$D$36:$D$51,'2010ER'!$L$36:$L$51))</f>
        <v>0.90484680597749678</v>
      </c>
      <c r="J83" s="176">
        <f>LOOKUP(ROUNDDOWN(J$58/5, 0)*5,'2010ER'!$D$36:$D$51,'2010ER'!$L$36:$L$51)+((J$58-ROUNDDOWN(J$58/5, 0)*5)/5)*(LOOKUP(ROUNDUP(J$58/5, 0)*5,'2010ER'!$D$36:$D$51,'2010ER'!$L$36:$L$51)-LOOKUP(ROUNDDOWN(J$58/5, 0)*5,'2010ER'!$D$36:$D$51,'2010ER'!$L$36:$L$51))</f>
        <v>0.61433082816707463</v>
      </c>
      <c r="K83" s="176">
        <f>LOOKUP(ROUNDDOWN(K$58/5, 0)*5,'2010ER'!$D$36:$D$51,'2010ER'!$L$36:$L$51)+((K$58-ROUNDDOWN(K$58/5, 0)*5)/5)*(LOOKUP(ROUNDUP(K$58/5, 0)*5,'2010ER'!$D$36:$D$51,'2010ER'!$L$36:$L$51)-LOOKUP(ROUNDDOWN(K$58/5, 0)*5,'2010ER'!$D$36:$D$51,'2010ER'!$L$36:$L$51))</f>
        <v>0.85520500645419884</v>
      </c>
      <c r="L83" s="176">
        <f>LOOKUP(ROUNDDOWN(L$58/5, 0)*5,'2010ER'!$D$36:$D$51,'2010ER'!$L$36:$L$51)+((L$58-ROUNDDOWN(L$58/5, 0)*5)/5)*(LOOKUP(ROUNDUP(L$58/5, 0)*5,'2010ER'!$D$36:$D$51,'2010ER'!$L$36:$L$51)-LOOKUP(ROUNDDOWN(L$58/5, 0)*5,'2010ER'!$D$36:$D$51,'2010ER'!$L$36:$L$51))</f>
        <v>0.471061862459978</v>
      </c>
      <c r="M83" s="902"/>
      <c r="N83" s="301"/>
      <c r="O83" s="1123"/>
      <c r="P83" s="927"/>
    </row>
    <row r="84" spans="1:16" hidden="1" x14ac:dyDescent="0.25">
      <c r="A84" s="301"/>
      <c r="B84" s="302"/>
      <c r="C84" s="359" t="s">
        <v>454</v>
      </c>
      <c r="D84" s="176">
        <f>LOOKUP(ROUNDDOWN(D$58/5, 0)*5,'2010ER'!$D$52:$D$67,'2010ER'!$L$52:$L$67)+((D$58-ROUNDDOWN(D$58/5, 0)*5)/5)*(LOOKUP(ROUNDUP(D$58/5, 0)*5,'2010ER'!$D$52:$D$67,'2010ER'!$L$52:$L$67)-LOOKUP(ROUNDDOWN(D$58/5, 0)*5,'2010ER'!$D$52:$D$67,'2010ER'!$L$52:$L$67))</f>
        <v>9.4802352139686921</v>
      </c>
      <c r="E84" s="176">
        <f>LOOKUP(ROUNDDOWN(E$58/5, 0)*5,'2010ER'!$D$52:$D$67,'2010ER'!$L$52:$L$67)+((E$58-ROUNDDOWN(E$58/5, 0)*5)/5)*(LOOKUP(ROUNDUP(E$58/5, 0)*5,'2010ER'!$D$52:$D$67,'2010ER'!$L$52:$L$67)-LOOKUP(ROUNDDOWN(E$58/5, 0)*5,'2010ER'!$D$52:$D$67,'2010ER'!$L$52:$L$67))</f>
        <v>13.190835273000706</v>
      </c>
      <c r="F84" s="176">
        <f>LOOKUP(ROUNDDOWN(F$58/5, 0)*5,'2010ER'!$D$52:$D$67,'2010ER'!$L$52:$L$67)+((F$58-ROUNDDOWN(F$58/5, 0)*5)/5)*(LOOKUP(ROUNDUP(F$58/5, 0)*5,'2010ER'!$D$52:$D$67,'2010ER'!$L$52:$L$67)-LOOKUP(ROUNDDOWN(F$58/5, 0)*5,'2010ER'!$D$52:$D$67,'2010ER'!$L$52:$L$67))</f>
        <v>9.5324636185627103</v>
      </c>
      <c r="G84" s="176">
        <f>LOOKUP(ROUNDDOWN(G$58/5, 0)*5,'2010ER'!$D$52:$D$67,'2010ER'!$L$52:$L$67)+((G$58-ROUNDDOWN(G$58/5, 0)*5)/5)*(LOOKUP(ROUNDUP(G$58/5, 0)*5,'2010ER'!$D$52:$D$67,'2010ER'!$L$52:$L$67)-LOOKUP(ROUNDDOWN(G$58/5, 0)*5,'2010ER'!$D$52:$D$67,'2010ER'!$L$52:$L$67))</f>
        <v>12.491967007260401</v>
      </c>
      <c r="H84" s="909"/>
      <c r="I84" s="176">
        <f>LOOKUP(ROUNDDOWN(I$58/5, 0)*5,'2010ER'!$D$52:$D$67,'2010ER'!$L$52:$L$67)+((I$58-ROUNDDOWN(I$58/5, 0)*5)/5)*(LOOKUP(ROUNDUP(I$58/5, 0)*5,'2010ER'!$D$52:$D$67,'2010ER'!$L$52:$L$67)-LOOKUP(ROUNDDOWN(I$58/5, 0)*5,'2010ER'!$D$52:$D$67,'2010ER'!$L$52:$L$67))</f>
        <v>13.190835273000706</v>
      </c>
      <c r="J84" s="176">
        <f>LOOKUP(ROUNDDOWN(J$58/5, 0)*5,'2010ER'!$D$52:$D$67,'2010ER'!$L$52:$L$67)+((J$58-ROUNDDOWN(J$58/5, 0)*5)/5)*(LOOKUP(ROUNDUP(J$58/5, 0)*5,'2010ER'!$D$52:$D$67,'2010ER'!$L$52:$L$67)-LOOKUP(ROUNDDOWN(J$58/5, 0)*5,'2010ER'!$D$52:$D$67,'2010ER'!$L$52:$L$67))</f>
        <v>10.16821867958911</v>
      </c>
      <c r="K84" s="176">
        <f>LOOKUP(ROUNDDOWN(K$58/5, 0)*5,'2010ER'!$D$52:$D$67,'2010ER'!$L$52:$L$67)+((K$58-ROUNDDOWN(K$58/5, 0)*5)/5)*(LOOKUP(ROUNDUP(K$58/5, 0)*5,'2010ER'!$D$52:$D$67,'2010ER'!$L$52:$L$67)-LOOKUP(ROUNDDOWN(K$58/5, 0)*5,'2010ER'!$D$52:$D$67,'2010ER'!$L$52:$L$67))</f>
        <v>12.491967007260401</v>
      </c>
      <c r="L84" s="176">
        <f>LOOKUP(ROUNDDOWN(L$58/5, 0)*5,'2010ER'!$D$52:$D$67,'2010ER'!$L$52:$L$67)+((L$58-ROUNDDOWN(L$58/5, 0)*5)/5)*(LOOKUP(ROUNDUP(L$58/5, 0)*5,'2010ER'!$D$52:$D$67,'2010ER'!$L$52:$L$67)-LOOKUP(ROUNDDOWN(L$58/5, 0)*5,'2010ER'!$D$52:$D$67,'2010ER'!$L$52:$L$67))</f>
        <v>9.5324636185627103</v>
      </c>
      <c r="M84" s="902"/>
      <c r="N84" s="301"/>
      <c r="O84" s="1123"/>
      <c r="P84" s="927"/>
    </row>
    <row r="85" spans="1:16" hidden="1" x14ac:dyDescent="0.25">
      <c r="A85" s="301"/>
      <c r="B85" s="302"/>
      <c r="C85" s="359" t="s">
        <v>455</v>
      </c>
      <c r="D85" s="176">
        <f>LOOKUP(ROUNDDOWN(D$58/5, 0)*5,'2010ER'!$D$68:$D$83,'2010ER'!$L$68:$L$83)+((D$58-ROUNDDOWN(D$58/5, 0)*5)/5)*(LOOKUP(ROUNDUP(D$58/5, 0)*5,'2010ER'!$D$68:$D$83,'2010ER'!$L$68:$L$83)-LOOKUP(ROUNDDOWN(D$58/5, 0)*5,'2010ER'!$D$68:$D$83,'2010ER'!$L$68:$L$83))</f>
        <v>0.65692756741290637</v>
      </c>
      <c r="E85" s="176">
        <f>LOOKUP(ROUNDDOWN(E$58/5, 0)*5,'2010ER'!$D$68:$D$83,'2010ER'!$L$68:$L$83)+((E$58-ROUNDDOWN(E$58/5, 0)*5)/5)*(LOOKUP(ROUNDUP(E$58/5, 0)*5,'2010ER'!$D$68:$D$83,'2010ER'!$L$68:$L$83)-LOOKUP(ROUNDDOWN(E$58/5, 0)*5,'2010ER'!$D$68:$D$83,'2010ER'!$L$68:$L$83))</f>
        <v>1.136894664256916</v>
      </c>
      <c r="F85" s="176">
        <f>LOOKUP(ROUNDDOWN(F$58/5, 0)*5,'2010ER'!$D$68:$D$83,'2010ER'!$L$68:$L$83)+((F$58-ROUNDDOWN(F$58/5, 0)*5)/5)*(LOOKUP(ROUNDUP(F$58/5, 0)*5,'2010ER'!$D$68:$D$83,'2010ER'!$L$68:$L$83)-LOOKUP(ROUNDDOWN(F$58/5, 0)*5,'2010ER'!$D$68:$D$83,'2010ER'!$L$68:$L$83))</f>
        <v>0.61765213450004075</v>
      </c>
      <c r="G85" s="176">
        <f>LOOKUP(ROUNDDOWN(G$58/5, 0)*5,'2010ER'!$D$68:$D$83,'2010ER'!$L$68:$L$83)+((G$58-ROUNDDOWN(G$58/5, 0)*5)/5)*(LOOKUP(ROUNDUP(G$58/5, 0)*5,'2010ER'!$D$68:$D$83,'2010ER'!$L$68:$L$83)-LOOKUP(ROUNDDOWN(G$58/5, 0)*5,'2010ER'!$D$68:$D$83,'2010ER'!$L$68:$L$83))</f>
        <v>1.0101387585372303</v>
      </c>
      <c r="H85" s="909"/>
      <c r="I85" s="176">
        <f>LOOKUP(ROUNDDOWN(I$58/5, 0)*5,'2010ER'!$D$68:$D$83,'2010ER'!$L$68:$L$83)+((I$58-ROUNDDOWN(I$58/5, 0)*5)/5)*(LOOKUP(ROUNDUP(I$58/5, 0)*5,'2010ER'!$D$68:$D$83,'2010ER'!$L$68:$L$83)-LOOKUP(ROUNDDOWN(I$58/5, 0)*5,'2010ER'!$D$68:$D$83,'2010ER'!$L$68:$L$83))</f>
        <v>1.136894664256916</v>
      </c>
      <c r="J85" s="176">
        <f>LOOKUP(ROUNDDOWN(J$58/5, 0)*5,'2010ER'!$D$68:$D$83,'2010ER'!$L$68:$L$83)+((J$58-ROUNDDOWN(J$58/5, 0)*5)/5)*(LOOKUP(ROUNDUP(J$58/5, 0)*5,'2010ER'!$D$68:$D$83,'2010ER'!$L$68:$L$83)-LOOKUP(ROUNDDOWN(J$58/5, 0)*5,'2010ER'!$D$68:$D$83,'2010ER'!$L$68:$L$83))</f>
        <v>0.75663397958121792</v>
      </c>
      <c r="K85" s="176">
        <f>LOOKUP(ROUNDDOWN(K$58/5, 0)*5,'2010ER'!$D$68:$D$83,'2010ER'!$L$68:$L$83)+((K$58-ROUNDDOWN(K$58/5, 0)*5)/5)*(LOOKUP(ROUNDUP(K$58/5, 0)*5,'2010ER'!$D$68:$D$83,'2010ER'!$L$68:$L$83)-LOOKUP(ROUNDDOWN(K$58/5, 0)*5,'2010ER'!$D$68:$D$83,'2010ER'!$L$68:$L$83))</f>
        <v>1.0101387585372303</v>
      </c>
      <c r="L85" s="176">
        <f>LOOKUP(ROUNDDOWN(L$58/5, 0)*5,'2010ER'!$D$68:$D$83,'2010ER'!$L$68:$L$83)+((L$58-ROUNDDOWN(L$58/5, 0)*5)/5)*(LOOKUP(ROUNDUP(L$58/5, 0)*5,'2010ER'!$D$68:$D$83,'2010ER'!$L$68:$L$83)-LOOKUP(ROUNDDOWN(L$58/5, 0)*5,'2010ER'!$D$68:$D$83,'2010ER'!$L$68:$L$83))</f>
        <v>0.61765213450004075</v>
      </c>
      <c r="M85" s="902"/>
      <c r="N85" s="301"/>
      <c r="O85" s="1123"/>
      <c r="P85" s="927"/>
    </row>
    <row r="86" spans="1:16" hidden="1" x14ac:dyDescent="0.25">
      <c r="A86" s="301"/>
      <c r="B86" s="302"/>
      <c r="C86" s="359" t="s">
        <v>403</v>
      </c>
      <c r="D86" s="176">
        <f>LOOKUP(ROUNDDOWN(D$58/5, 0)*5,'2010ER'!$D$4:$D$19,'2010ER'!$Q$4:$Q$19)+((D$58-ROUNDDOWN(D$58/5, 0)*5)/5)*(LOOKUP(ROUNDUP(D$58/5, 0)*5,'2010ER'!$D$4:$D$19,'2010ER'!$Q$4:$Q$19)-LOOKUP(ROUNDDOWN(D$58/5, 0)*5,'2010ER'!$D$4:$D$19,'2010ER'!$Q$4:$Q$19))</f>
        <v>1400.3214583088763</v>
      </c>
      <c r="E86" s="176">
        <f>LOOKUP(ROUNDDOWN(E$58/5, 0)*5,'2010ER'!$D$4:$D$19,'2010ER'!$Q$4:$Q$19)+((E$58-ROUNDDOWN(E$58/5, 0)*5)/5)*(LOOKUP(ROUNDUP(E$58/5, 0)*5,'2010ER'!$D$4:$D$19,'2010ER'!$Q$4:$Q$19)-LOOKUP(ROUNDDOWN(E$58/5, 0)*5,'2010ER'!$D$4:$D$19,'2010ER'!$Q$4:$Q$19))</f>
        <v>1975.9893032561056</v>
      </c>
      <c r="F86" s="176">
        <f>LOOKUP(ROUNDDOWN(F$58/5, 0)*5,'2010ER'!$D$4:$D$19,'2010ER'!$Q$4:$Q$19)+((F$58-ROUNDDOWN(F$58/5, 0)*5)/5)*(LOOKUP(ROUNDUP(F$58/5, 0)*5,'2010ER'!$D$4:$D$19,'2010ER'!$Q$4:$Q$19)-LOOKUP(ROUNDDOWN(F$58/5, 0)*5,'2010ER'!$D$4:$D$19,'2010ER'!$Q$4:$Q$19))</f>
        <v>1377.2701657844123</v>
      </c>
      <c r="G86" s="176">
        <f>LOOKUP(ROUNDDOWN(G$58/5, 0)*5,'2010ER'!$D$4:$D$19,'2010ER'!$Q$4:$Q$19)+((G$58-ROUNDDOWN(G$58/5, 0)*5)/5)*(LOOKUP(ROUNDUP(G$58/5, 0)*5,'2010ER'!$D$4:$D$19,'2010ER'!$Q$4:$Q$19)-LOOKUP(ROUNDDOWN(G$58/5, 0)*5,'2010ER'!$D$4:$D$19,'2010ER'!$Q$4:$Q$19))</f>
        <v>1900.0290062711506</v>
      </c>
      <c r="H86" s="909"/>
      <c r="I86" s="176">
        <f>LOOKUP(ROUNDDOWN(I$58/5, 0)*5,'2010ER'!$D$4:$D$19,'2010ER'!$Q$4:$Q$19)+((I$58-ROUNDDOWN(I$58/5, 0)*5)/5)*(LOOKUP(ROUNDUP(I$58/5, 0)*5,'2010ER'!$D$4:$D$19,'2010ER'!$Q$4:$Q$19)-LOOKUP(ROUNDDOWN(I$58/5, 0)*5,'2010ER'!$D$4:$D$19,'2010ER'!$Q$4:$Q$19))</f>
        <v>1975.9893032561056</v>
      </c>
      <c r="J86" s="176">
        <f>LOOKUP(ROUNDDOWN(J$58/5, 0)*5,'2010ER'!$D$4:$D$19,'2010ER'!$Q$4:$Q$19)+((J$58-ROUNDDOWN(J$58/5, 0)*5)/5)*(LOOKUP(ROUNDUP(J$58/5, 0)*5,'2010ER'!$D$4:$D$19,'2010ER'!$Q$4:$Q$19)-LOOKUP(ROUNDDOWN(J$58/5, 0)*5,'2010ER'!$D$4:$D$19,'2010ER'!$Q$4:$Q$19))</f>
        <v>1558.4834148644152</v>
      </c>
      <c r="K86" s="176">
        <f>LOOKUP(ROUNDDOWN(K$58/5, 0)*5,'2010ER'!$D$4:$D$19,'2010ER'!$Q$4:$Q$19)+((K$58-ROUNDDOWN(K$58/5, 0)*5)/5)*(LOOKUP(ROUNDUP(K$58/5, 0)*5,'2010ER'!$D$4:$D$19,'2010ER'!$Q$4:$Q$19)-LOOKUP(ROUNDDOWN(K$58/5, 0)*5,'2010ER'!$D$4:$D$19,'2010ER'!$Q$4:$Q$19))</f>
        <v>1900.0290062711506</v>
      </c>
      <c r="L86" s="176">
        <f>LOOKUP(ROUNDDOWN(L$58/5, 0)*5,'2010ER'!$D$4:$D$19,'2010ER'!$Q$4:$Q$19)+((L$58-ROUNDDOWN(L$58/5, 0)*5)/5)*(LOOKUP(ROUNDUP(L$58/5, 0)*5,'2010ER'!$D$4:$D$19,'2010ER'!$Q$4:$Q$19)-LOOKUP(ROUNDDOWN(L$58/5, 0)*5,'2010ER'!$D$4:$D$19,'2010ER'!$Q$4:$Q$19))</f>
        <v>1377.2701657844123</v>
      </c>
      <c r="M86" s="902"/>
      <c r="N86" s="301"/>
      <c r="O86" s="1123"/>
      <c r="P86" s="927"/>
    </row>
    <row r="87" spans="1:16" hidden="1" x14ac:dyDescent="0.25">
      <c r="A87" s="301"/>
      <c r="B87" s="302"/>
      <c r="C87" s="359" t="s">
        <v>405</v>
      </c>
      <c r="D87" s="176">
        <f>LOOKUP(ROUNDDOWN(D$58/5, 0)*5,'2010ER'!$D$20:$D$35,'2010ER'!$Q$20:$Q$35)+((D$58-ROUNDDOWN(D$58/5, 0)*5)/5)*(LOOKUP(ROUNDUP(D$58/5, 0)*5,'2010ER'!$D$20:$D$35,'2010ER'!$Q$20:$Q$35)-LOOKUP(ROUNDDOWN(D$58/5, 0)*5,'2010ER'!$D$20:$D$35,'2010ER'!$Q$20:$Q$35))</f>
        <v>7.4222865182549693</v>
      </c>
      <c r="E87" s="176">
        <f>LOOKUP(ROUNDDOWN(E$58/5, 0)*5,'2010ER'!$D$20:$D$35,'2010ER'!$Q$20:$Q$35)+((E$58-ROUNDDOWN(E$58/5, 0)*5)/5)*(LOOKUP(ROUNDUP(E$58/5, 0)*5,'2010ER'!$D$20:$D$35,'2010ER'!$Q$20:$Q$35)-LOOKUP(ROUNDDOWN(E$58/5, 0)*5,'2010ER'!$D$20:$D$35,'2010ER'!$Q$20:$Q$35))</f>
        <v>10.350462929914384</v>
      </c>
      <c r="F87" s="176">
        <f>LOOKUP(ROUNDDOWN(F$58/5, 0)*5,'2010ER'!$D$20:$D$35,'2010ER'!$Q$20:$Q$35)+((F$58-ROUNDDOWN(F$58/5, 0)*5)/5)*(LOOKUP(ROUNDUP(F$58/5, 0)*5,'2010ER'!$D$20:$D$35,'2010ER'!$Q$20:$Q$35)-LOOKUP(ROUNDDOWN(F$58/5, 0)*5,'2010ER'!$D$20:$D$35,'2010ER'!$Q$20:$Q$35))</f>
        <v>7.3234409761487047</v>
      </c>
      <c r="G87" s="176">
        <f>LOOKUP(ROUNDDOWN(G$58/5, 0)*5,'2010ER'!$D$20:$D$35,'2010ER'!$Q$20:$Q$35)+((G$58-ROUNDDOWN(G$58/5, 0)*5)/5)*(LOOKUP(ROUNDUP(G$58/5, 0)*5,'2010ER'!$D$20:$D$35,'2010ER'!$Q$20:$Q$35)-LOOKUP(ROUNDDOWN(G$58/5, 0)*5,'2010ER'!$D$20:$D$35,'2010ER'!$Q$20:$Q$35))</f>
        <v>9.8451535740847298</v>
      </c>
      <c r="H87" s="909"/>
      <c r="I87" s="176">
        <f>LOOKUP(ROUNDDOWN(I$58/5, 0)*5,'2010ER'!$D$20:$D$35,'2010ER'!$Q$20:$Q$35)+((I$58-ROUNDDOWN(I$58/5, 0)*5)/5)*(LOOKUP(ROUNDUP(I$58/5, 0)*5,'2010ER'!$D$20:$D$35,'2010ER'!$Q$20:$Q$35)-LOOKUP(ROUNDDOWN(I$58/5, 0)*5,'2010ER'!$D$20:$D$35,'2010ER'!$Q$20:$Q$35))</f>
        <v>10.350462929914384</v>
      </c>
      <c r="J87" s="176">
        <f>LOOKUP(ROUNDDOWN(J$58/5, 0)*5,'2010ER'!$D$20:$D$35,'2010ER'!$Q$20:$Q$35)+((J$58-ROUNDDOWN(J$58/5, 0)*5)/5)*(LOOKUP(ROUNDUP(J$58/5, 0)*5,'2010ER'!$D$20:$D$35,'2010ER'!$Q$20:$Q$35)-LOOKUP(ROUNDDOWN(J$58/5, 0)*5,'2010ER'!$D$20:$D$35,'2010ER'!$Q$20:$Q$35))</f>
        <v>8.1037383830666165</v>
      </c>
      <c r="K87" s="176">
        <f>LOOKUP(ROUNDDOWN(K$58/5, 0)*5,'2010ER'!$D$20:$D$35,'2010ER'!$Q$20:$Q$35)+((K$58-ROUNDDOWN(K$58/5, 0)*5)/5)*(LOOKUP(ROUNDUP(K$58/5, 0)*5,'2010ER'!$D$20:$D$35,'2010ER'!$Q$20:$Q$35)-LOOKUP(ROUNDDOWN(K$58/5, 0)*5,'2010ER'!$D$20:$D$35,'2010ER'!$Q$20:$Q$35))</f>
        <v>9.8451535740847298</v>
      </c>
      <c r="L87" s="176">
        <f>LOOKUP(ROUNDDOWN(L$58/5, 0)*5,'2010ER'!$D$20:$D$35,'2010ER'!$Q$20:$Q$35)+((L$58-ROUNDDOWN(L$58/5, 0)*5)/5)*(LOOKUP(ROUNDUP(L$58/5, 0)*5,'2010ER'!$D$20:$D$35,'2010ER'!$Q$20:$Q$35)-LOOKUP(ROUNDDOWN(L$58/5, 0)*5,'2010ER'!$D$20:$D$35,'2010ER'!$Q$20:$Q$35))</f>
        <v>7.3234409761487047</v>
      </c>
      <c r="M87" s="902"/>
      <c r="N87" s="301"/>
      <c r="O87" s="1123"/>
      <c r="P87" s="927"/>
    </row>
    <row r="88" spans="1:16" hidden="1" x14ac:dyDescent="0.25">
      <c r="A88" s="301"/>
      <c r="B88" s="302"/>
      <c r="C88" s="359" t="s">
        <v>404</v>
      </c>
      <c r="D88" s="175">
        <f>LOOKUP(ROUNDDOWN(D$58/5, 0)*5,'2010ER'!$D$36:$D$51,'2010ER'!$Q$36:$Q$51)+((D$58-ROUNDDOWN(D$58/5, 0)*5)/5)*(LOOKUP(ROUNDUP(D$58/5, 0)*5,'2010ER'!$D$36:$D$51,'2010ER'!$Q$36:$Q$51)-LOOKUP(ROUNDDOWN(D$58/5, 0)*5,'2010ER'!$D$36:$D$51,'2010ER'!$Q$36:$Q$51))</f>
        <v>0.30964840145467937</v>
      </c>
      <c r="E88" s="175">
        <f>LOOKUP(ROUNDDOWN(E$58/5, 0)*5,'2010ER'!$D$36:$D$51,'2010ER'!$Q$36:$Q$51)+((E$58-ROUNDDOWN(E$58/5, 0)*5)/5)*(LOOKUP(ROUNDUP(E$58/5, 0)*5,'2010ER'!$D$36:$D$51,'2010ER'!$Q$36:$Q$51)-LOOKUP(ROUNDDOWN(E$58/5, 0)*5,'2010ER'!$D$36:$D$51,'2010ER'!$Q$36:$Q$51))</f>
        <v>0.61629951097173952</v>
      </c>
      <c r="F88" s="175">
        <f>LOOKUP(ROUNDDOWN(F$58/5, 0)*5,'2010ER'!$D$36:$D$51,'2010ER'!$Q$36:$Q$51)+((F$58-ROUNDDOWN(F$58/5, 0)*5)/5)*(LOOKUP(ROUNDUP(F$58/5, 0)*5,'2010ER'!$D$36:$D$51,'2010ER'!$Q$36:$Q$51)-LOOKUP(ROUNDDOWN(F$58/5, 0)*5,'2010ER'!$D$36:$D$51,'2010ER'!$Q$36:$Q$51))</f>
        <v>0.28753312703085465</v>
      </c>
      <c r="G88" s="175">
        <f>LOOKUP(ROUNDDOWN(G$58/5, 0)*5,'2010ER'!$D$36:$D$51,'2010ER'!$Q$36:$Q$51)+((G$58-ROUNDDOWN(G$58/5, 0)*5)/5)*(LOOKUP(ROUNDUP(G$58/5, 0)*5,'2010ER'!$D$36:$D$51,'2010ER'!$Q$36:$Q$51)-LOOKUP(ROUNDDOWN(G$58/5, 0)*5,'2010ER'!$D$36:$D$51,'2010ER'!$Q$36:$Q$51))</f>
        <v>0.5851017910413544</v>
      </c>
      <c r="H88" s="909"/>
      <c r="I88" s="175">
        <f>LOOKUP(ROUNDDOWN(I$58/5, 0)*5,'2010ER'!$D$36:$D$51,'2010ER'!$Q$36:$Q$51)+((I$58-ROUNDDOWN(I$58/5, 0)*5)/5)*(LOOKUP(ROUNDUP(I$58/5, 0)*5,'2010ER'!$D$36:$D$51,'2010ER'!$Q$36:$Q$51)-LOOKUP(ROUNDDOWN(I$58/5, 0)*5,'2010ER'!$D$36:$D$51,'2010ER'!$Q$36:$Q$51))</f>
        <v>0.61629951097173952</v>
      </c>
      <c r="J88" s="175">
        <f>LOOKUP(ROUNDDOWN(J$58/5, 0)*5,'2010ER'!$D$36:$D$51,'2010ER'!$Q$36:$Q$51)+((J$58-ROUNDDOWN(J$58/5, 0)*5)/5)*(LOOKUP(ROUNDUP(J$58/5, 0)*5,'2010ER'!$D$36:$D$51,'2010ER'!$Q$36:$Q$51)-LOOKUP(ROUNDDOWN(J$58/5, 0)*5,'2010ER'!$D$36:$D$51,'2010ER'!$Q$36:$Q$51))</f>
        <v>0.40941403700090551</v>
      </c>
      <c r="K88" s="175">
        <f>LOOKUP(ROUNDDOWN(K$58/5, 0)*5,'2010ER'!$D$36:$D$51,'2010ER'!$Q$36:$Q$51)+((K$58-ROUNDDOWN(K$58/5, 0)*5)/5)*(LOOKUP(ROUNDUP(K$58/5, 0)*5,'2010ER'!$D$36:$D$51,'2010ER'!$Q$36:$Q$51)-LOOKUP(ROUNDDOWN(K$58/5, 0)*5,'2010ER'!$D$36:$D$51,'2010ER'!$Q$36:$Q$51))</f>
        <v>0.5851017910413544</v>
      </c>
      <c r="L88" s="175">
        <f>LOOKUP(ROUNDDOWN(L$58/5, 0)*5,'2010ER'!$D$36:$D$51,'2010ER'!$Q$36:$Q$51)+((L$58-ROUNDDOWN(L$58/5, 0)*5)/5)*(LOOKUP(ROUNDUP(L$58/5, 0)*5,'2010ER'!$D$36:$D$51,'2010ER'!$Q$36:$Q$51)-LOOKUP(ROUNDDOWN(L$58/5, 0)*5,'2010ER'!$D$36:$D$51,'2010ER'!$Q$36:$Q$51))</f>
        <v>0.28753312703085465</v>
      </c>
      <c r="M88" s="901"/>
      <c r="N88" s="301"/>
      <c r="O88" s="1123"/>
      <c r="P88" s="927"/>
    </row>
    <row r="89" spans="1:16" hidden="1" x14ac:dyDescent="0.25">
      <c r="A89" s="301"/>
      <c r="B89" s="302"/>
      <c r="C89" s="359" t="s">
        <v>427</v>
      </c>
      <c r="D89" s="175">
        <f>LOOKUP(ROUNDDOWN(D$58/5, 0)*5,'2010ER'!$D$52:$D$67,'2010ER'!$Q$52:$Q$67)+((D$58-ROUNDDOWN(D$58/5, 0)*5)/5)*(LOOKUP(ROUNDUP(D$58/5, 0)*5,'2010ER'!$D$52:$D$67,'2010ER'!$Q$52:$Q$67)-LOOKUP(ROUNDDOWN(D$58/5, 0)*5,'2010ER'!$D$52:$D$67,'2010ER'!$Q$52:$Q$67))</f>
        <v>6.6299097666360067</v>
      </c>
      <c r="E89" s="175">
        <f>LOOKUP(ROUNDDOWN(E$58/5, 0)*5,'2010ER'!$D$52:$D$67,'2010ER'!$Q$52:$Q$67)+((E$58-ROUNDDOWN(E$58/5, 0)*5)/5)*(LOOKUP(ROUNDUP(E$58/5, 0)*5,'2010ER'!$D$52:$D$67,'2010ER'!$Q$52:$Q$67)-LOOKUP(ROUNDDOWN(E$58/5, 0)*5,'2010ER'!$D$52:$D$67,'2010ER'!$Q$52:$Q$67))</f>
        <v>8.9922036276216026</v>
      </c>
      <c r="F89" s="175">
        <f>LOOKUP(ROUNDDOWN(F$58/5, 0)*5,'2010ER'!$D$52:$D$67,'2010ER'!$Q$52:$Q$67)+((F$58-ROUNDDOWN(F$58/5, 0)*5)/5)*(LOOKUP(ROUNDUP(F$58/5, 0)*5,'2010ER'!$D$52:$D$67,'2010ER'!$Q$52:$Q$67)-LOOKUP(ROUNDDOWN(F$58/5, 0)*5,'2010ER'!$D$52:$D$67,'2010ER'!$Q$52:$Q$67))</f>
        <v>6.5439571043707518</v>
      </c>
      <c r="G89" s="175">
        <f>LOOKUP(ROUNDDOWN(G$58/5, 0)*5,'2010ER'!$D$52:$D$67,'2010ER'!$Q$52:$Q$67)+((G$58-ROUNDDOWN(G$58/5, 0)*5)/5)*(LOOKUP(ROUNDUP(G$58/5, 0)*5,'2010ER'!$D$52:$D$67,'2010ER'!$Q$52:$Q$67)-LOOKUP(ROUNDDOWN(G$58/5, 0)*5,'2010ER'!$D$52:$D$67,'2010ER'!$Q$52:$Q$67))</f>
        <v>8.5731761655651422</v>
      </c>
      <c r="H89" s="909"/>
      <c r="I89" s="175">
        <f>LOOKUP(ROUNDDOWN(I$58/5, 0)*5,'2010ER'!$D$52:$D$67,'2010ER'!$Q$52:$Q$67)+((I$58-ROUNDDOWN(I$58/5, 0)*5)/5)*(LOOKUP(ROUNDUP(I$58/5, 0)*5,'2010ER'!$D$52:$D$67,'2010ER'!$Q$52:$Q$67)-LOOKUP(ROUNDDOWN(I$58/5, 0)*5,'2010ER'!$D$52:$D$67,'2010ER'!$Q$52:$Q$67))</f>
        <v>8.9922036276216026</v>
      </c>
      <c r="J89" s="175">
        <f>LOOKUP(ROUNDDOWN(J$58/5, 0)*5,'2010ER'!$D$52:$D$67,'2010ER'!$Q$52:$Q$67)+((J$58-ROUNDDOWN(J$58/5, 0)*5)/5)*(LOOKUP(ROUNDUP(J$58/5, 0)*5,'2010ER'!$D$52:$D$67,'2010ER'!$Q$52:$Q$67)-LOOKUP(ROUNDDOWN(J$58/5, 0)*5,'2010ER'!$D$52:$D$67,'2010ER'!$Q$52:$Q$67))</f>
        <v>7.1797717363712072</v>
      </c>
      <c r="K89" s="175">
        <f>LOOKUP(ROUNDDOWN(K$58/5, 0)*5,'2010ER'!$D$52:$D$67,'2010ER'!$Q$52:$Q$67)+((K$58-ROUNDDOWN(K$58/5, 0)*5)/5)*(LOOKUP(ROUNDUP(K$58/5, 0)*5,'2010ER'!$D$52:$D$67,'2010ER'!$Q$52:$Q$67)-LOOKUP(ROUNDDOWN(K$58/5, 0)*5,'2010ER'!$D$52:$D$67,'2010ER'!$Q$52:$Q$67))</f>
        <v>8.5731761655651422</v>
      </c>
      <c r="L89" s="175">
        <f>LOOKUP(ROUNDDOWN(L$58/5, 0)*5,'2010ER'!$D$52:$D$67,'2010ER'!$Q$52:$Q$67)+((L$58-ROUNDDOWN(L$58/5, 0)*5)/5)*(LOOKUP(ROUNDUP(L$58/5, 0)*5,'2010ER'!$D$52:$D$67,'2010ER'!$Q$52:$Q$67)-LOOKUP(ROUNDDOWN(L$58/5, 0)*5,'2010ER'!$D$52:$D$67,'2010ER'!$Q$52:$Q$67))</f>
        <v>6.5439571043707518</v>
      </c>
      <c r="M89" s="901"/>
      <c r="N89" s="301"/>
      <c r="O89" s="1123"/>
      <c r="P89" s="927"/>
    </row>
    <row r="90" spans="1:16" hidden="1" x14ac:dyDescent="0.25">
      <c r="A90" s="301"/>
      <c r="B90" s="302"/>
      <c r="C90" s="359" t="s">
        <v>425</v>
      </c>
      <c r="D90" s="175">
        <f>LOOKUP(ROUNDDOWN(D$58/5, 0)*5,'2010ER'!$D$68:$D$83,'2010ER'!$Q$68:$Q$83)+((D$58-ROUNDDOWN(D$58/5, 0)*5)/5)*(LOOKUP(ROUNDUP(D$58/5, 0)*5,'2010ER'!$D$68:$D$83,'2010ER'!$Q$68:$Q$83)-LOOKUP(ROUNDDOWN(D$58/5, 0)*5,'2010ER'!$D$68:$D$83,'2010ER'!$Q$68:$Q$83))</f>
        <v>0.47476750272574253</v>
      </c>
      <c r="E90" s="175">
        <f>LOOKUP(ROUNDDOWN(E$58/5, 0)*5,'2010ER'!$D$68:$D$83,'2010ER'!$Q$68:$Q$83)+((E$58-ROUNDDOWN(E$58/5, 0)*5)/5)*(LOOKUP(ROUNDUP(E$58/5, 0)*5,'2010ER'!$D$68:$D$83,'2010ER'!$Q$68:$Q$83)-LOOKUP(ROUNDDOWN(E$58/5, 0)*5,'2010ER'!$D$68:$D$83,'2010ER'!$Q$68:$Q$83))</f>
        <v>0.90332425108287062</v>
      </c>
      <c r="F90" s="175">
        <f>LOOKUP(ROUNDDOWN(F$58/5, 0)*5,'2010ER'!$D$68:$D$83,'2010ER'!$Q$68:$Q$83)+((F$58-ROUNDDOWN(F$58/5, 0)*5)/5)*(LOOKUP(ROUNDUP(F$58/5, 0)*5,'2010ER'!$D$68:$D$83,'2010ER'!$Q$68:$Q$83)-LOOKUP(ROUNDDOWN(F$58/5, 0)*5,'2010ER'!$D$68:$D$83,'2010ER'!$Q$68:$Q$83))</f>
        <v>0.43964362174890587</v>
      </c>
      <c r="G90" s="175">
        <f>LOOKUP(ROUNDDOWN(G$58/5, 0)*5,'2010ER'!$D$68:$D$83,'2010ER'!$Q$68:$Q$83)+((G$58-ROUNDDOWN(G$58/5, 0)*5)/5)*(LOOKUP(ROUNDUP(G$58/5, 0)*5,'2010ER'!$D$68:$D$83,'2010ER'!$Q$68:$Q$83)-LOOKUP(ROUNDDOWN(G$58/5, 0)*5,'2010ER'!$D$68:$D$83,'2010ER'!$Q$68:$Q$83))</f>
        <v>0.812241637418188</v>
      </c>
      <c r="H90" s="909"/>
      <c r="I90" s="175">
        <f>LOOKUP(ROUNDDOWN(I$58/5, 0)*5,'2010ER'!$D$68:$D$83,'2010ER'!$Q$68:$Q$83)+((I$58-ROUNDDOWN(I$58/5, 0)*5)/5)*(LOOKUP(ROUNDUP(I$58/5, 0)*5,'2010ER'!$D$68:$D$83,'2010ER'!$Q$68:$Q$83)-LOOKUP(ROUNDDOWN(I$58/5, 0)*5,'2010ER'!$D$68:$D$83,'2010ER'!$Q$68:$Q$83))</f>
        <v>0.90332425108287062</v>
      </c>
      <c r="J90" s="175">
        <f>LOOKUP(ROUNDDOWN(J$58/5, 0)*5,'2010ER'!$D$68:$D$83,'2010ER'!$Q$68:$Q$83)+((J$58-ROUNDDOWN(J$58/5, 0)*5)/5)*(LOOKUP(ROUNDUP(J$58/5, 0)*5,'2010ER'!$D$68:$D$83,'2010ER'!$Q$68:$Q$83)-LOOKUP(ROUNDDOWN(J$58/5, 0)*5,'2010ER'!$D$68:$D$83,'2010ER'!$Q$68:$Q$83))</f>
        <v>0.58025597178496791</v>
      </c>
      <c r="K90" s="175">
        <f>LOOKUP(ROUNDDOWN(K$58/5, 0)*5,'2010ER'!$D$68:$D$83,'2010ER'!$Q$68:$Q$83)+((K$58-ROUNDDOWN(K$58/5, 0)*5)/5)*(LOOKUP(ROUNDUP(K$58/5, 0)*5,'2010ER'!$D$68:$D$83,'2010ER'!$Q$68:$Q$83)-LOOKUP(ROUNDDOWN(K$58/5, 0)*5,'2010ER'!$D$68:$D$83,'2010ER'!$Q$68:$Q$83))</f>
        <v>0.812241637418188</v>
      </c>
      <c r="L90" s="175">
        <f>LOOKUP(ROUNDDOWN(L$58/5, 0)*5,'2010ER'!$D$68:$D$83,'2010ER'!$Q$68:$Q$83)+((L$58-ROUNDDOWN(L$58/5, 0)*5)/5)*(LOOKUP(ROUNDUP(L$58/5, 0)*5,'2010ER'!$D$68:$D$83,'2010ER'!$Q$68:$Q$83)-LOOKUP(ROUNDDOWN(L$58/5, 0)*5,'2010ER'!$D$68:$D$83,'2010ER'!$Q$68:$Q$83))</f>
        <v>0.43964362174890587</v>
      </c>
      <c r="M90" s="901"/>
      <c r="N90" s="301"/>
      <c r="O90" s="1123"/>
      <c r="P90" s="927"/>
    </row>
    <row r="91" spans="1:16" hidden="1" x14ac:dyDescent="0.25">
      <c r="A91" s="301"/>
      <c r="B91" s="302"/>
      <c r="C91" s="591" t="s">
        <v>468</v>
      </c>
      <c r="D91" s="392"/>
      <c r="E91" s="392"/>
      <c r="F91" s="392"/>
      <c r="G91" s="392"/>
      <c r="H91" s="897"/>
      <c r="I91" s="392"/>
      <c r="J91" s="392"/>
      <c r="K91" s="392"/>
      <c r="L91" s="392"/>
      <c r="M91" s="392"/>
      <c r="N91" s="301"/>
      <c r="O91" s="1123" t="s">
        <v>458</v>
      </c>
      <c r="P91" s="927"/>
    </row>
    <row r="92" spans="1:16" hidden="1" x14ac:dyDescent="0.25">
      <c r="A92" s="301"/>
      <c r="B92" s="302"/>
      <c r="C92" s="359" t="s">
        <v>348</v>
      </c>
      <c r="D92" s="176">
        <f>LOOKUP(ROUNDDOWN(D$57/5, 0)*5,'2020ER'!$D$4:$D$19,'2020ER'!$G$4:$G$19)+((D$57-ROUNDDOWN(D$57/5, 0)*5)/5)*(LOOKUP(ROUNDUP(D$57/5, 0)*5,'2020ER'!$D$4:$D$19,'2020ER'!$G$4:$G$19)-LOOKUP(ROUNDDOWN(D$57/5, 0)*5,'2020ER'!$D$4:$D$19,'2020ER'!$G$4:$G$19))</f>
        <v>319.82752801573344</v>
      </c>
      <c r="E92" s="176">
        <f>LOOKUP(ROUNDDOWN(E$57/5, 0)*5,'2020ER'!$D$4:$D$19,'2020ER'!$G$4:$G$19)+((E$57-ROUNDDOWN(E$57/5, 0)*5)/5)*(LOOKUP(ROUNDUP(E$57/5, 0)*5,'2020ER'!$D$4:$D$19,'2020ER'!$G$4:$G$19)-LOOKUP(ROUNDDOWN(E$57/5, 0)*5,'2020ER'!$D$4:$D$19,'2020ER'!$G$4:$G$19))</f>
        <v>485.31649766383151</v>
      </c>
      <c r="F92" s="176">
        <f>LOOKUP(ROUNDDOWN(F$57/5, 0)*5,'2020ER'!$D$4:$D$19,'2020ER'!$G$4:$G$19)+((F$57-ROUNDDOWN(F$57/5, 0)*5)/5)*(LOOKUP(ROUNDUP(F$57/5, 0)*5,'2020ER'!$D$4:$D$19,'2020ER'!$G$4:$G$19)-LOOKUP(ROUNDDOWN(F$57/5, 0)*5,'2020ER'!$D$4:$D$19,'2020ER'!$G$4:$G$19))</f>
        <v>315.66326015558161</v>
      </c>
      <c r="G92" s="176">
        <f>LOOKUP(ROUNDDOWN(G$57/5, 0)*5,'2020ER'!$D$4:$D$19,'2020ER'!$G$4:$G$19)+((G$57-ROUNDDOWN(G$57/5, 0)*5)/5)*(LOOKUP(ROUNDUP(G$57/5, 0)*5,'2020ER'!$D$4:$D$19,'2020ER'!$G$4:$G$19)-LOOKUP(ROUNDDOWN(G$57/5, 0)*5,'2020ER'!$D$4:$D$19,'2020ER'!$G$4:$G$19))</f>
        <v>315.66326015558161</v>
      </c>
      <c r="H92" s="909"/>
      <c r="I92" s="176">
        <f>LOOKUP(ROUNDDOWN(I$57/5, 0)*5,'2020ER'!$D$4:$D$19,'2020ER'!$G$4:$G$19)+((I$57-ROUNDDOWN(I$57/5, 0)*5)/5)*(LOOKUP(ROUNDUP(I$57/5, 0)*5,'2020ER'!$D$4:$D$19,'2020ER'!$G$4:$G$19)-LOOKUP(ROUNDDOWN(I$57/5, 0)*5,'2020ER'!$D$4:$D$19,'2020ER'!$G$4:$G$19))</f>
        <v>485.31649766383151</v>
      </c>
      <c r="J92" s="176">
        <f>LOOKUP(ROUNDDOWN(J$57/5, 0)*5,'2020ER'!$D$4:$D$19,'2020ER'!$G$4:$G$19)+((J$57-ROUNDDOWN(J$57/5, 0)*5)/5)*(LOOKUP(ROUNDUP(J$57/5, 0)*5,'2020ER'!$D$4:$D$19,'2020ER'!$G$4:$G$19)-LOOKUP(ROUNDDOWN(J$57/5, 0)*5,'2020ER'!$D$4:$D$19,'2020ER'!$G$4:$G$19))</f>
        <v>339.12944393630403</v>
      </c>
      <c r="K92" s="176">
        <f>LOOKUP(ROUNDDOWN(K$57/5, 0)*5,'2020ER'!$D$4:$D$19,'2020ER'!$G$4:$G$19)+((K$57-ROUNDDOWN(K$57/5, 0)*5)/5)*(LOOKUP(ROUNDUP(K$57/5, 0)*5,'2020ER'!$D$4:$D$19,'2020ER'!$G$4:$G$19)-LOOKUP(ROUNDDOWN(K$57/5, 0)*5,'2020ER'!$D$4:$D$19,'2020ER'!$G$4:$G$19))</f>
        <v>315.66326015558161</v>
      </c>
      <c r="L92" s="176">
        <f>LOOKUP(ROUNDDOWN(L$57/5, 0)*5,'2020ER'!$D$4:$D$19,'2020ER'!$G$4:$G$19)+((L$57-ROUNDDOWN(L$57/5, 0)*5)/5)*(LOOKUP(ROUNDUP(L$57/5, 0)*5,'2020ER'!$D$4:$D$19,'2020ER'!$G$4:$G$19)-LOOKUP(ROUNDDOWN(L$57/5, 0)*5,'2020ER'!$D$4:$D$19,'2020ER'!$G$4:$G$19))</f>
        <v>315.66326015558161</v>
      </c>
      <c r="M92" s="902"/>
      <c r="N92" s="301"/>
      <c r="O92" s="1123"/>
      <c r="P92" s="927"/>
    </row>
    <row r="93" spans="1:16" hidden="1" x14ac:dyDescent="0.25">
      <c r="A93" s="301"/>
      <c r="B93" s="302"/>
      <c r="C93" s="359" t="s">
        <v>351</v>
      </c>
      <c r="D93" s="176">
        <f>LOOKUP(ROUNDDOWN(D$57/5, 0)*5,'2020ER'!$D$20:$D$35,'2020ER'!$G$20:$G$35)+((D$57-ROUNDDOWN(D$57/5, 0)*5)/5)*(LOOKUP(ROUNDUP(D$57/5, 0)*5,'2020ER'!$D$20:$D$35,'2020ER'!$G$20:$G$35)-LOOKUP(ROUNDDOWN(D$57/5, 0)*5,'2020ER'!$D$20:$D$35,'2020ER'!$G$20:$G$35))</f>
        <v>0.23320075704093945</v>
      </c>
      <c r="E93" s="176">
        <f>LOOKUP(ROUNDDOWN(E$57/5, 0)*5,'2020ER'!$D$20:$D$35,'2020ER'!$G$20:$G$35)+((E$57-ROUNDDOWN(E$57/5, 0)*5)/5)*(LOOKUP(ROUNDUP(E$57/5, 0)*5,'2020ER'!$D$20:$D$35,'2020ER'!$G$20:$G$35)-LOOKUP(ROUNDDOWN(E$57/5, 0)*5,'2020ER'!$D$20:$D$35,'2020ER'!$G$20:$G$35))</f>
        <v>0.22710748686342516</v>
      </c>
      <c r="F93" s="176">
        <f>LOOKUP(ROUNDDOWN(F$57/5, 0)*5,'2020ER'!$D$20:$D$35,'2020ER'!$G$20:$G$35)+((F$57-ROUNDDOWN(F$57/5, 0)*5)/5)*(LOOKUP(ROUNDUP(F$57/5, 0)*5,'2020ER'!$D$20:$D$35,'2020ER'!$G$20:$G$35)-LOOKUP(ROUNDDOWN(F$57/5, 0)*5,'2020ER'!$D$20:$D$35,'2020ER'!$G$20:$G$35))</f>
        <v>0.23677352603724877</v>
      </c>
      <c r="G93" s="176">
        <f>LOOKUP(ROUNDDOWN(G$57/5, 0)*5,'2020ER'!$D$20:$D$35,'2020ER'!$G$20:$G$35)+((G$57-ROUNDDOWN(G$57/5, 0)*5)/5)*(LOOKUP(ROUNDUP(G$57/5, 0)*5,'2020ER'!$D$20:$D$35,'2020ER'!$G$20:$G$35)-LOOKUP(ROUNDDOWN(G$57/5, 0)*5,'2020ER'!$D$20:$D$35,'2020ER'!$G$20:$G$35))</f>
        <v>0.23677352603724877</v>
      </c>
      <c r="H93" s="909"/>
      <c r="I93" s="176">
        <f>LOOKUP(ROUNDDOWN(I$57/5, 0)*5,'2020ER'!$D$20:$D$35,'2020ER'!$G$20:$G$35)+((I$57-ROUNDDOWN(I$57/5, 0)*5)/5)*(LOOKUP(ROUNDUP(I$57/5, 0)*5,'2020ER'!$D$20:$D$35,'2020ER'!$G$20:$G$35)-LOOKUP(ROUNDDOWN(I$57/5, 0)*5,'2020ER'!$D$20:$D$35,'2020ER'!$G$20:$G$35))</f>
        <v>0.22710748686342516</v>
      </c>
      <c r="J93" s="176">
        <f>LOOKUP(ROUNDDOWN(J$57/5, 0)*5,'2020ER'!$D$20:$D$35,'2020ER'!$G$20:$G$35)+((J$57-ROUNDDOWN(J$57/5, 0)*5)/5)*(LOOKUP(ROUNDUP(J$57/5, 0)*5,'2020ER'!$D$20:$D$35,'2020ER'!$G$20:$G$35)-LOOKUP(ROUNDDOWN(J$57/5, 0)*5,'2020ER'!$D$20:$D$35,'2020ER'!$G$20:$G$35))</f>
        <v>0.22959389760704538</v>
      </c>
      <c r="K93" s="176">
        <f>LOOKUP(ROUNDDOWN(K$57/5, 0)*5,'2020ER'!$D$20:$D$35,'2020ER'!$G$20:$G$35)+((K$57-ROUNDDOWN(K$57/5, 0)*5)/5)*(LOOKUP(ROUNDUP(K$57/5, 0)*5,'2020ER'!$D$20:$D$35,'2020ER'!$G$20:$G$35)-LOOKUP(ROUNDDOWN(K$57/5, 0)*5,'2020ER'!$D$20:$D$35,'2020ER'!$G$20:$G$35))</f>
        <v>0.23677352603724877</v>
      </c>
      <c r="L93" s="176">
        <f>LOOKUP(ROUNDDOWN(L$57/5, 0)*5,'2020ER'!$D$20:$D$35,'2020ER'!$G$20:$G$35)+((L$57-ROUNDDOWN(L$57/5, 0)*5)/5)*(LOOKUP(ROUNDUP(L$57/5, 0)*5,'2020ER'!$D$20:$D$35,'2020ER'!$G$20:$G$35)-LOOKUP(ROUNDDOWN(L$57/5, 0)*5,'2020ER'!$D$20:$D$35,'2020ER'!$G$20:$G$35))</f>
        <v>0.23677352603724877</v>
      </c>
      <c r="M93" s="902"/>
      <c r="N93" s="301"/>
      <c r="O93" s="1123"/>
      <c r="P93" s="927"/>
    </row>
    <row r="94" spans="1:16" hidden="1" x14ac:dyDescent="0.25">
      <c r="A94" s="301"/>
      <c r="B94" s="302"/>
      <c r="C94" s="359" t="s">
        <v>377</v>
      </c>
      <c r="D94" s="176">
        <f>LOOKUP(ROUNDDOWN(D$57/5, 0)*5,'2020ER'!$D$36:$D$51,'2020ER'!$G$36:$G$51)+((D$57-ROUNDDOWN(D$57/5, 0)*5)/5)*(LOOKUP(ROUNDUP(D$57/5, 0)*5,'2020ER'!$D$36:$D$51,'2020ER'!$G$36:$G$51)-LOOKUP(ROUNDDOWN(D$57/5, 0)*5,'2020ER'!$D$36:$D$51,'2020ER'!$G$36:$G$51))</f>
        <v>1.169152881511923E-2</v>
      </c>
      <c r="E94" s="176">
        <f>LOOKUP(ROUNDDOWN(E$57/5, 0)*5,'2020ER'!$D$36:$D$51,'2020ER'!$G$36:$G$51)+((E$57-ROUNDDOWN(E$57/5, 0)*5)/5)*(LOOKUP(ROUNDUP(E$57/5, 0)*5,'2020ER'!$D$36:$D$51,'2020ER'!$G$36:$G$51)-LOOKUP(ROUNDDOWN(E$57/5, 0)*5,'2020ER'!$D$36:$D$51,'2020ER'!$G$36:$G$51))</f>
        <v>2.2647918025415509E-2</v>
      </c>
      <c r="F94" s="176">
        <f>LOOKUP(ROUNDDOWN(F$57/5, 0)*5,'2020ER'!$D$36:$D$51,'2020ER'!$G$36:$G$51)+((F$57-ROUNDDOWN(F$57/5, 0)*5)/5)*(LOOKUP(ROUNDUP(F$57/5, 0)*5,'2020ER'!$D$36:$D$51,'2020ER'!$G$36:$G$51)-LOOKUP(ROUNDDOWN(F$57/5, 0)*5,'2020ER'!$D$36:$D$51,'2020ER'!$G$36:$G$51))</f>
        <v>1.0628081299299489E-2</v>
      </c>
      <c r="G94" s="176">
        <f>LOOKUP(ROUNDDOWN(G$57/5, 0)*5,'2020ER'!$D$36:$D$51,'2020ER'!$G$36:$G$51)+((G$57-ROUNDDOWN(G$57/5, 0)*5)/5)*(LOOKUP(ROUNDUP(G$57/5, 0)*5,'2020ER'!$D$36:$D$51,'2020ER'!$G$36:$G$51)-LOOKUP(ROUNDDOWN(G$57/5, 0)*5,'2020ER'!$D$36:$D$51,'2020ER'!$G$36:$G$51))</f>
        <v>1.0628081299299489E-2</v>
      </c>
      <c r="H94" s="909"/>
      <c r="I94" s="176">
        <f>LOOKUP(ROUNDDOWN(I$57/5, 0)*5,'2020ER'!$D$36:$D$51,'2020ER'!$G$36:$G$51)+((I$57-ROUNDDOWN(I$57/5, 0)*5)/5)*(LOOKUP(ROUNDUP(I$57/5, 0)*5,'2020ER'!$D$36:$D$51,'2020ER'!$G$36:$G$51)-LOOKUP(ROUNDDOWN(I$57/5, 0)*5,'2020ER'!$D$36:$D$51,'2020ER'!$G$36:$G$51))</f>
        <v>2.2647918025415509E-2</v>
      </c>
      <c r="J94" s="176">
        <f>LOOKUP(ROUNDDOWN(J$57/5, 0)*5,'2020ER'!$D$36:$D$51,'2020ER'!$G$36:$G$51)+((J$57-ROUNDDOWN(J$57/5, 0)*5)/5)*(LOOKUP(ROUNDUP(J$57/5, 0)*5,'2020ER'!$D$36:$D$51,'2020ER'!$G$36:$G$51)-LOOKUP(ROUNDDOWN(J$57/5, 0)*5,'2020ER'!$D$36:$D$51,'2020ER'!$G$36:$G$51))</f>
        <v>1.4019009487823862E-2</v>
      </c>
      <c r="K94" s="176">
        <f>LOOKUP(ROUNDDOWN(K$57/5, 0)*5,'2020ER'!$D$36:$D$51,'2020ER'!$G$36:$G$51)+((K$57-ROUNDDOWN(K$57/5, 0)*5)/5)*(LOOKUP(ROUNDUP(K$57/5, 0)*5,'2020ER'!$D$36:$D$51,'2020ER'!$G$36:$G$51)-LOOKUP(ROUNDDOWN(K$57/5, 0)*5,'2020ER'!$D$36:$D$51,'2020ER'!$G$36:$G$51))</f>
        <v>1.0628081299299489E-2</v>
      </c>
      <c r="L94" s="176">
        <f>LOOKUP(ROUNDDOWN(L$57/5, 0)*5,'2020ER'!$D$36:$D$51,'2020ER'!$G$36:$G$51)+((L$57-ROUNDDOWN(L$57/5, 0)*5)/5)*(LOOKUP(ROUNDUP(L$57/5, 0)*5,'2020ER'!$D$36:$D$51,'2020ER'!$G$36:$G$51)-LOOKUP(ROUNDDOWN(L$57/5, 0)*5,'2020ER'!$D$36:$D$51,'2020ER'!$G$36:$G$51))</f>
        <v>1.0628081299299489E-2</v>
      </c>
      <c r="M94" s="902"/>
      <c r="N94" s="301"/>
      <c r="O94" s="1123"/>
      <c r="P94" s="927"/>
    </row>
    <row r="95" spans="1:16" hidden="1" x14ac:dyDescent="0.25">
      <c r="A95" s="301"/>
      <c r="B95" s="302"/>
      <c r="C95" s="359" t="s">
        <v>426</v>
      </c>
      <c r="D95" s="176">
        <f>LOOKUP(ROUNDDOWN(D$57/5, 0)*5,'2020ER'!$D$52:$D$67,'2020ER'!$G$52:$G$67)+((D$57-ROUNDDOWN(D$57/5, 0)*5)/5)*(LOOKUP(ROUNDUP(D$57/5, 0)*5,'2020ER'!$D$52:$D$67,'2020ER'!$G$52:$G$67)-LOOKUP(ROUNDDOWN(D$57/5, 0)*5,'2020ER'!$D$52:$D$67,'2020ER'!$G$52:$G$67))</f>
        <v>0.22740061548137527</v>
      </c>
      <c r="E95" s="176">
        <f>LOOKUP(ROUNDDOWN(E$57/5, 0)*5,'2020ER'!$D$52:$D$67,'2020ER'!$G$52:$G$67)+((E$57-ROUNDDOWN(E$57/5, 0)*5)/5)*(LOOKUP(ROUNDUP(E$57/5, 0)*5,'2020ER'!$D$52:$D$67,'2020ER'!$G$52:$G$67)-LOOKUP(ROUNDDOWN(E$57/5, 0)*5,'2020ER'!$D$52:$D$67,'2020ER'!$G$52:$G$67))</f>
        <v>0.2507509643372533</v>
      </c>
      <c r="F95" s="176">
        <f>LOOKUP(ROUNDDOWN(F$57/5, 0)*5,'2020ER'!$D$52:$D$67,'2020ER'!$G$52:$G$67)+((F$57-ROUNDDOWN(F$57/5, 0)*5)/5)*(LOOKUP(ROUNDUP(F$57/5, 0)*5,'2020ER'!$D$52:$D$67,'2020ER'!$G$52:$G$67)-LOOKUP(ROUNDDOWN(F$57/5, 0)*5,'2020ER'!$D$52:$D$67,'2020ER'!$G$52:$G$67))</f>
        <v>0.2297635893578118</v>
      </c>
      <c r="G95" s="176">
        <f>LOOKUP(ROUNDDOWN(G$57/5, 0)*5,'2020ER'!$D$52:$D$67,'2020ER'!$G$52:$G$67)+((G$57-ROUNDDOWN(G$57/5, 0)*5)/5)*(LOOKUP(ROUNDUP(G$57/5, 0)*5,'2020ER'!$D$52:$D$67,'2020ER'!$G$52:$G$67)-LOOKUP(ROUNDDOWN(G$57/5, 0)*5,'2020ER'!$D$52:$D$67,'2020ER'!$G$52:$G$67))</f>
        <v>0.2297635893578118</v>
      </c>
      <c r="H95" s="909"/>
      <c r="I95" s="176">
        <f>LOOKUP(ROUNDDOWN(I$57/5, 0)*5,'2020ER'!$D$52:$D$67,'2020ER'!$G$52:$G$67)+((I$57-ROUNDDOWN(I$57/5, 0)*5)/5)*(LOOKUP(ROUNDUP(I$57/5, 0)*5,'2020ER'!$D$52:$D$67,'2020ER'!$G$52:$G$67)-LOOKUP(ROUNDDOWN(I$57/5, 0)*5,'2020ER'!$D$52:$D$67,'2020ER'!$G$52:$G$67))</f>
        <v>0.2507509643372533</v>
      </c>
      <c r="J95" s="176">
        <f>LOOKUP(ROUNDDOWN(J$57/5, 0)*5,'2020ER'!$D$52:$D$67,'2020ER'!$G$52:$G$67)+((J$57-ROUNDDOWN(J$57/5, 0)*5)/5)*(LOOKUP(ROUNDUP(J$57/5, 0)*5,'2020ER'!$D$52:$D$67,'2020ER'!$G$52:$G$67)-LOOKUP(ROUNDDOWN(J$57/5, 0)*5,'2020ER'!$D$52:$D$67,'2020ER'!$G$52:$G$67))</f>
        <v>0.2252508387855027</v>
      </c>
      <c r="K95" s="176">
        <f>LOOKUP(ROUNDDOWN(K$57/5, 0)*5,'2020ER'!$D$52:$D$67,'2020ER'!$G$52:$G$67)+((K$57-ROUNDDOWN(K$57/5, 0)*5)/5)*(LOOKUP(ROUNDUP(K$57/5, 0)*5,'2020ER'!$D$52:$D$67,'2020ER'!$G$52:$G$67)-LOOKUP(ROUNDDOWN(K$57/5, 0)*5,'2020ER'!$D$52:$D$67,'2020ER'!$G$52:$G$67))</f>
        <v>0.2297635893578118</v>
      </c>
      <c r="L95" s="176">
        <f>LOOKUP(ROUNDDOWN(L$57/5, 0)*5,'2020ER'!$D$52:$D$67,'2020ER'!$G$52:$G$67)+((L$57-ROUNDDOWN(L$57/5, 0)*5)/5)*(LOOKUP(ROUNDUP(L$57/5, 0)*5,'2020ER'!$D$52:$D$67,'2020ER'!$G$52:$G$67)-LOOKUP(ROUNDDOWN(L$57/5, 0)*5,'2020ER'!$D$52:$D$67,'2020ER'!$G$52:$G$67))</f>
        <v>0.2297635893578118</v>
      </c>
      <c r="M95" s="902"/>
      <c r="N95" s="301"/>
      <c r="O95" s="1123"/>
      <c r="P95" s="927"/>
    </row>
    <row r="96" spans="1:16" hidden="1" x14ac:dyDescent="0.25">
      <c r="A96" s="301"/>
      <c r="B96" s="302"/>
      <c r="C96" s="359" t="s">
        <v>424</v>
      </c>
      <c r="D96" s="176">
        <f>LOOKUP(ROUNDDOWN(D$57/5, 0)*5,'2020ER'!$D$68:$D$83,'2020ER'!$G$68:$G$83)+((D$57-ROUNDDOWN(D$57/5, 0)*5)/5)*(LOOKUP(ROUNDUP(D$57/5, 0)*5,'2020ER'!$D$68:$D$83,'2020ER'!$G$68:$G$83)-LOOKUP(ROUNDDOWN(D$57/5, 0)*5,'2020ER'!$D$68:$D$83,'2020ER'!$G$68:$G$83))</f>
        <v>6.7434320508356488E-2</v>
      </c>
      <c r="E96" s="176">
        <f>LOOKUP(ROUNDDOWN(E$57/5, 0)*5,'2020ER'!$D$68:$D$83,'2020ER'!$G$68:$G$83)+((E$57-ROUNDDOWN(E$57/5, 0)*5)/5)*(LOOKUP(ROUNDUP(E$57/5, 0)*5,'2020ER'!$D$68:$D$83,'2020ER'!$G$68:$G$83)-LOOKUP(ROUNDDOWN(E$57/5, 0)*5,'2020ER'!$D$68:$D$83,'2020ER'!$G$68:$G$83))</f>
        <v>0.13579734890833783</v>
      </c>
      <c r="F96" s="176">
        <f>LOOKUP(ROUNDDOWN(F$57/5, 0)*5,'2020ER'!$D$68:$D$83,'2020ER'!$G$68:$G$83)+((F$57-ROUNDDOWN(F$57/5, 0)*5)/5)*(LOOKUP(ROUNDUP(F$57/5, 0)*5,'2020ER'!$D$68:$D$83,'2020ER'!$G$68:$G$83)-LOOKUP(ROUNDDOWN(F$57/5, 0)*5,'2020ER'!$D$68:$D$83,'2020ER'!$G$68:$G$83))</f>
        <v>6.3956565960873582E-2</v>
      </c>
      <c r="G96" s="176">
        <f>LOOKUP(ROUNDDOWN(G$57/5, 0)*5,'2020ER'!$D$68:$D$83,'2020ER'!$G$68:$G$83)+((G$57-ROUNDDOWN(G$57/5, 0)*5)/5)*(LOOKUP(ROUNDUP(G$57/5, 0)*5,'2020ER'!$D$68:$D$83,'2020ER'!$G$68:$G$83)-LOOKUP(ROUNDDOWN(G$57/5, 0)*5,'2020ER'!$D$68:$D$83,'2020ER'!$G$68:$G$83))</f>
        <v>6.3956565960873582E-2</v>
      </c>
      <c r="H96" s="909"/>
      <c r="I96" s="176">
        <f>LOOKUP(ROUNDDOWN(I$57/5, 0)*5,'2020ER'!$D$68:$D$83,'2020ER'!$G$68:$G$83)+((I$57-ROUNDDOWN(I$57/5, 0)*5)/5)*(LOOKUP(ROUNDUP(I$57/5, 0)*5,'2020ER'!$D$68:$D$83,'2020ER'!$G$68:$G$83)-LOOKUP(ROUNDDOWN(I$57/5, 0)*5,'2020ER'!$D$68:$D$83,'2020ER'!$G$68:$G$83))</f>
        <v>0.13579734890833783</v>
      </c>
      <c r="J96" s="176">
        <f>LOOKUP(ROUNDDOWN(J$57/5, 0)*5,'2020ER'!$D$68:$D$83,'2020ER'!$G$68:$G$83)+((J$57-ROUNDDOWN(J$57/5, 0)*5)/5)*(LOOKUP(ROUNDUP(J$57/5, 0)*5,'2020ER'!$D$68:$D$83,'2020ER'!$G$68:$G$83)-LOOKUP(ROUNDDOWN(J$57/5, 0)*5,'2020ER'!$D$68:$D$83,'2020ER'!$G$68:$G$83))</f>
        <v>7.7175427606996916E-2</v>
      </c>
      <c r="K96" s="176">
        <f>LOOKUP(ROUNDDOWN(K$57/5, 0)*5,'2020ER'!$D$68:$D$83,'2020ER'!$G$68:$G$83)+((K$57-ROUNDDOWN(K$57/5, 0)*5)/5)*(LOOKUP(ROUNDUP(K$57/5, 0)*5,'2020ER'!$D$68:$D$83,'2020ER'!$G$68:$G$83)-LOOKUP(ROUNDDOWN(K$57/5, 0)*5,'2020ER'!$D$68:$D$83,'2020ER'!$G$68:$G$83))</f>
        <v>6.3956565960873582E-2</v>
      </c>
      <c r="L96" s="176">
        <f>LOOKUP(ROUNDDOWN(L$57/5, 0)*5,'2020ER'!$D$68:$D$83,'2020ER'!$G$68:$G$83)+((L$57-ROUNDDOWN(L$57/5, 0)*5)/5)*(LOOKUP(ROUNDUP(L$57/5, 0)*5,'2020ER'!$D$68:$D$83,'2020ER'!$G$68:$G$83)-LOOKUP(ROUNDDOWN(L$57/5, 0)*5,'2020ER'!$D$68:$D$83,'2020ER'!$G$68:$G$83))</f>
        <v>6.3956565960873582E-2</v>
      </c>
      <c r="M96" s="902"/>
      <c r="N96" s="301"/>
      <c r="O96" s="1123"/>
      <c r="P96" s="927"/>
    </row>
    <row r="97" spans="1:16" hidden="1" x14ac:dyDescent="0.25">
      <c r="A97" s="301"/>
      <c r="B97" s="302"/>
      <c r="C97" s="359" t="s">
        <v>451</v>
      </c>
      <c r="D97" s="176">
        <f>LOOKUP(ROUNDDOWN(D$57/5, 0)*5,'2020ER'!$D$4:$D$19,'2020ER'!$L$4:$L$19)+((D$57-ROUNDDOWN(D$57/5, 0)*5)/5)*(LOOKUP(ROUNDUP(D$57/5, 0)*5,'2020ER'!$D$4:$D$19,'2020ER'!$L$4:$L$19)-LOOKUP(ROUNDDOWN(D$57/5, 0)*5,'2020ER'!$D$4:$D$19,'2020ER'!$L$4:$L$19))</f>
        <v>1240.3001396290838</v>
      </c>
      <c r="E97" s="176">
        <f>LOOKUP(ROUNDDOWN(E$57/5, 0)*5,'2020ER'!$D$4:$D$19,'2020ER'!$L$4:$L$19)+((E$57-ROUNDDOWN(E$57/5, 0)*5)/5)*(LOOKUP(ROUNDUP(E$57/5, 0)*5,'2020ER'!$D$4:$D$19,'2020ER'!$L$4:$L$19)-LOOKUP(ROUNDDOWN(E$57/5, 0)*5,'2020ER'!$D$4:$D$19,'2020ER'!$L$4:$L$19))</f>
        <v>2034.8052973495644</v>
      </c>
      <c r="F97" s="176">
        <f>LOOKUP(ROUNDDOWN(F$57/5, 0)*5,'2020ER'!$D$4:$D$19,'2020ER'!$L$4:$L$19)+((F$57-ROUNDDOWN(F$57/5, 0)*5)/5)*(LOOKUP(ROUNDUP(F$57/5, 0)*5,'2020ER'!$D$4:$D$19,'2020ER'!$L$4:$L$19)-LOOKUP(ROUNDDOWN(F$57/5, 0)*5,'2020ER'!$D$4:$D$19,'2020ER'!$L$4:$L$19))</f>
        <v>1232.0465277490161</v>
      </c>
      <c r="G97" s="176">
        <f>LOOKUP(ROUNDDOWN(G$57/5, 0)*5,'2020ER'!$D$4:$D$19,'2020ER'!$L$4:$L$19)+((G$57-ROUNDDOWN(G$57/5, 0)*5)/5)*(LOOKUP(ROUNDUP(G$57/5, 0)*5,'2020ER'!$D$4:$D$19,'2020ER'!$L$4:$L$19)-LOOKUP(ROUNDDOWN(G$57/5, 0)*5,'2020ER'!$D$4:$D$19,'2020ER'!$L$4:$L$19))</f>
        <v>1232.0465277490161</v>
      </c>
      <c r="H97" s="909"/>
      <c r="I97" s="176">
        <f>LOOKUP(ROUNDDOWN(I$57/5, 0)*5,'2020ER'!$D$4:$D$19,'2020ER'!$L$4:$L$19)+((I$57-ROUNDDOWN(I$57/5, 0)*5)/5)*(LOOKUP(ROUNDUP(I$57/5, 0)*5,'2020ER'!$D$4:$D$19,'2020ER'!$L$4:$L$19)-LOOKUP(ROUNDDOWN(I$57/5, 0)*5,'2020ER'!$D$4:$D$19,'2020ER'!$L$4:$L$19))</f>
        <v>2034.8052973495644</v>
      </c>
      <c r="J97" s="176">
        <f>LOOKUP(ROUNDDOWN(J$57/5, 0)*5,'2020ER'!$D$4:$D$19,'2020ER'!$L$4:$L$19)+((J$57-ROUNDDOWN(J$57/5, 0)*5)/5)*(LOOKUP(ROUNDUP(J$57/5, 0)*5,'2020ER'!$D$4:$D$19,'2020ER'!$L$4:$L$19)-LOOKUP(ROUNDDOWN(J$57/5, 0)*5,'2020ER'!$D$4:$D$19,'2020ER'!$L$4:$L$19))</f>
        <v>1339.8401339494942</v>
      </c>
      <c r="K97" s="176">
        <f>LOOKUP(ROUNDDOWN(K$57/5, 0)*5,'2020ER'!$D$4:$D$19,'2020ER'!$L$4:$L$19)+((K$57-ROUNDDOWN(K$57/5, 0)*5)/5)*(LOOKUP(ROUNDUP(K$57/5, 0)*5,'2020ER'!$D$4:$D$19,'2020ER'!$L$4:$L$19)-LOOKUP(ROUNDDOWN(K$57/5, 0)*5,'2020ER'!$D$4:$D$19,'2020ER'!$L$4:$L$19))</f>
        <v>1232.0465277490161</v>
      </c>
      <c r="L97" s="176">
        <f>LOOKUP(ROUNDDOWN(L$57/5, 0)*5,'2020ER'!$D$4:$D$19,'2020ER'!$L$4:$L$19)+((L$57-ROUNDDOWN(L$57/5, 0)*5)/5)*(LOOKUP(ROUNDUP(L$57/5, 0)*5,'2020ER'!$D$4:$D$19,'2020ER'!$L$4:$L$19)-LOOKUP(ROUNDDOWN(L$57/5, 0)*5,'2020ER'!$D$4:$D$19,'2020ER'!$L$4:$L$19))</f>
        <v>1232.0465277490161</v>
      </c>
      <c r="M97" s="902"/>
      <c r="N97" s="301"/>
      <c r="O97" s="1123"/>
      <c r="P97" s="927"/>
    </row>
    <row r="98" spans="1:16" hidden="1" x14ac:dyDescent="0.25">
      <c r="A98" s="301"/>
      <c r="B98" s="302"/>
      <c r="C98" s="359" t="s">
        <v>452</v>
      </c>
      <c r="D98" s="176">
        <f>LOOKUP(ROUNDDOWN(D$57/5, 0)*5,'2020ER'!$D$20:$D$35,'2020ER'!$L$20:$L$35)+((D$57-ROUNDDOWN(D$57/5, 0)*5)/5)*(LOOKUP(ROUNDUP(D$57/5, 0)*5,'2020ER'!$D$20:$D$35,'2020ER'!$L$20:$L$35)-LOOKUP(ROUNDDOWN(D$57/5, 0)*5,'2020ER'!$D$20:$D$35,'2020ER'!$L$20:$L$35))</f>
        <v>3.0146433843794984</v>
      </c>
      <c r="E98" s="176">
        <f>LOOKUP(ROUNDDOWN(E$57/5, 0)*5,'2020ER'!$D$20:$D$35,'2020ER'!$L$20:$L$35)+((E$57-ROUNDDOWN(E$57/5, 0)*5)/5)*(LOOKUP(ROUNDUP(E$57/5, 0)*5,'2020ER'!$D$20:$D$35,'2020ER'!$L$20:$L$35)-LOOKUP(ROUNDDOWN(E$57/5, 0)*5,'2020ER'!$D$20:$D$35,'2020ER'!$L$20:$L$35))</f>
        <v>5.4628498735666806</v>
      </c>
      <c r="F98" s="176">
        <f>LOOKUP(ROUNDDOWN(F$57/5, 0)*5,'2020ER'!$D$20:$D$35,'2020ER'!$L$20:$L$35)+((F$57-ROUNDDOWN(F$57/5, 0)*5)/5)*(LOOKUP(ROUNDUP(F$57/5, 0)*5,'2020ER'!$D$20:$D$35,'2020ER'!$L$20:$L$35)-LOOKUP(ROUNDDOWN(F$57/5, 0)*5,'2020ER'!$D$20:$D$35,'2020ER'!$L$20:$L$35))</f>
        <v>2.9788685169853584</v>
      </c>
      <c r="G98" s="176">
        <f>LOOKUP(ROUNDDOWN(G$57/5, 0)*5,'2020ER'!$D$20:$D$35,'2020ER'!$L$20:$L$35)+((G$57-ROUNDDOWN(G$57/5, 0)*5)/5)*(LOOKUP(ROUNDUP(G$57/5, 0)*5,'2020ER'!$D$20:$D$35,'2020ER'!$L$20:$L$35)-LOOKUP(ROUNDDOWN(G$57/5, 0)*5,'2020ER'!$D$20:$D$35,'2020ER'!$L$20:$L$35))</f>
        <v>2.9788685169853584</v>
      </c>
      <c r="H98" s="909"/>
      <c r="I98" s="176">
        <f>LOOKUP(ROUNDDOWN(I$57/5, 0)*5,'2020ER'!$D$20:$D$35,'2020ER'!$L$20:$L$35)+((I$57-ROUNDDOWN(I$57/5, 0)*5)/5)*(LOOKUP(ROUNDUP(I$57/5, 0)*5,'2020ER'!$D$20:$D$35,'2020ER'!$L$20:$L$35)-LOOKUP(ROUNDDOWN(I$57/5, 0)*5,'2020ER'!$D$20:$D$35,'2020ER'!$L$20:$L$35))</f>
        <v>5.4628498735666806</v>
      </c>
      <c r="J98" s="176">
        <f>LOOKUP(ROUNDDOWN(J$57/5, 0)*5,'2020ER'!$D$20:$D$35,'2020ER'!$L$20:$L$35)+((J$57-ROUNDDOWN(J$57/5, 0)*5)/5)*(LOOKUP(ROUNDUP(J$57/5, 0)*5,'2020ER'!$D$20:$D$35,'2020ER'!$L$20:$L$35)-LOOKUP(ROUNDDOWN(J$57/5, 0)*5,'2020ER'!$D$20:$D$35,'2020ER'!$L$20:$L$35))</f>
        <v>3.3075828010381851</v>
      </c>
      <c r="K98" s="176">
        <f>LOOKUP(ROUNDDOWN(K$57/5, 0)*5,'2020ER'!$D$20:$D$35,'2020ER'!$L$20:$L$35)+((K$57-ROUNDDOWN(K$57/5, 0)*5)/5)*(LOOKUP(ROUNDUP(K$57/5, 0)*5,'2020ER'!$D$20:$D$35,'2020ER'!$L$20:$L$35)-LOOKUP(ROUNDDOWN(K$57/5, 0)*5,'2020ER'!$D$20:$D$35,'2020ER'!$L$20:$L$35))</f>
        <v>2.9788685169853584</v>
      </c>
      <c r="L98" s="176">
        <f>LOOKUP(ROUNDDOWN(L$57/5, 0)*5,'2020ER'!$D$20:$D$35,'2020ER'!$L$20:$L$35)+((L$57-ROUNDDOWN(L$57/5, 0)*5)/5)*(LOOKUP(ROUNDUP(L$57/5, 0)*5,'2020ER'!$D$20:$D$35,'2020ER'!$L$20:$L$35)-LOOKUP(ROUNDDOWN(L$57/5, 0)*5,'2020ER'!$D$20:$D$35,'2020ER'!$L$20:$L$35))</f>
        <v>2.9788685169853584</v>
      </c>
      <c r="M98" s="902"/>
      <c r="N98" s="301"/>
      <c r="O98" s="1123"/>
      <c r="P98" s="927"/>
    </row>
    <row r="99" spans="1:16" hidden="1" x14ac:dyDescent="0.25">
      <c r="A99" s="301"/>
      <c r="B99" s="302"/>
      <c r="C99" s="359" t="s">
        <v>453</v>
      </c>
      <c r="D99" s="176">
        <f>LOOKUP(ROUNDDOWN(D$57/5, 0)*5,'2020ER'!$D$36:$D$51,'2020ER'!$L$36:$L$51)+((D$57-ROUNDDOWN(D$57/5, 0)*5)/5)*(LOOKUP(ROUNDUP(D$57/5, 0)*5,'2020ER'!$D$36:$D$51,'2020ER'!$L$36:$L$51)-LOOKUP(ROUNDDOWN(D$57/5, 0)*5,'2020ER'!$D$36:$D$51,'2020ER'!$L$36:$L$51))</f>
        <v>0.12893945871708054</v>
      </c>
      <c r="E99" s="176">
        <f>LOOKUP(ROUNDDOWN(E$57/5, 0)*5,'2020ER'!$D$36:$D$51,'2020ER'!$L$36:$L$51)+((E$57-ROUNDDOWN(E$57/5, 0)*5)/5)*(LOOKUP(ROUNDUP(E$57/5, 0)*5,'2020ER'!$D$36:$D$51,'2020ER'!$L$36:$L$51)-LOOKUP(ROUNDDOWN(E$57/5, 0)*5,'2020ER'!$D$36:$D$51,'2020ER'!$L$36:$L$51))</f>
        <v>0.32663547981439328</v>
      </c>
      <c r="F99" s="176">
        <f>LOOKUP(ROUNDDOWN(F$57/5, 0)*5,'2020ER'!$D$36:$D$51,'2020ER'!$L$36:$L$51)+((F$57-ROUNDDOWN(F$57/5, 0)*5)/5)*(LOOKUP(ROUNDUP(F$57/5, 0)*5,'2020ER'!$D$36:$D$51,'2020ER'!$L$36:$L$51)-LOOKUP(ROUNDDOWN(F$57/5, 0)*5,'2020ER'!$D$36:$D$51,'2020ER'!$L$36:$L$51))</f>
        <v>0.11991777513622186</v>
      </c>
      <c r="G99" s="176">
        <f>LOOKUP(ROUNDDOWN(G$57/5, 0)*5,'2020ER'!$D$36:$D$51,'2020ER'!$L$36:$L$51)+((G$57-ROUNDDOWN(G$57/5, 0)*5)/5)*(LOOKUP(ROUNDUP(G$57/5, 0)*5,'2020ER'!$D$36:$D$51,'2020ER'!$L$36:$L$51)-LOOKUP(ROUNDDOWN(G$57/5, 0)*5,'2020ER'!$D$36:$D$51,'2020ER'!$L$36:$L$51))</f>
        <v>0.11991777513622186</v>
      </c>
      <c r="H99" s="909"/>
      <c r="I99" s="176">
        <f>LOOKUP(ROUNDDOWN(I$57/5, 0)*5,'2020ER'!$D$36:$D$51,'2020ER'!$L$36:$L$51)+((I$57-ROUNDDOWN(I$57/5, 0)*5)/5)*(LOOKUP(ROUNDUP(I$57/5, 0)*5,'2020ER'!$D$36:$D$51,'2020ER'!$L$36:$L$51)-LOOKUP(ROUNDDOWN(I$57/5, 0)*5,'2020ER'!$D$36:$D$51,'2020ER'!$L$36:$L$51))</f>
        <v>0.32663547981439328</v>
      </c>
      <c r="J99" s="176">
        <f>LOOKUP(ROUNDDOWN(J$57/5, 0)*5,'2020ER'!$D$36:$D$51,'2020ER'!$L$36:$L$51)+((J$57-ROUNDDOWN(J$57/5, 0)*5)/5)*(LOOKUP(ROUNDUP(J$57/5, 0)*5,'2020ER'!$D$36:$D$51,'2020ER'!$L$36:$L$51)-LOOKUP(ROUNDDOWN(J$57/5, 0)*5,'2020ER'!$D$36:$D$51,'2020ER'!$L$36:$L$51))</f>
        <v>0.16398965615468913</v>
      </c>
      <c r="K99" s="176">
        <f>LOOKUP(ROUNDDOWN(K$57/5, 0)*5,'2020ER'!$D$36:$D$51,'2020ER'!$L$36:$L$51)+((K$57-ROUNDDOWN(K$57/5, 0)*5)/5)*(LOOKUP(ROUNDUP(K$57/5, 0)*5,'2020ER'!$D$36:$D$51,'2020ER'!$L$36:$L$51)-LOOKUP(ROUNDDOWN(K$57/5, 0)*5,'2020ER'!$D$36:$D$51,'2020ER'!$L$36:$L$51))</f>
        <v>0.11991777513622186</v>
      </c>
      <c r="L99" s="176">
        <f>LOOKUP(ROUNDDOWN(L$57/5, 0)*5,'2020ER'!$D$36:$D$51,'2020ER'!$L$36:$L$51)+((L$57-ROUNDDOWN(L$57/5, 0)*5)/5)*(LOOKUP(ROUNDUP(L$57/5, 0)*5,'2020ER'!$D$36:$D$51,'2020ER'!$L$36:$L$51)-LOOKUP(ROUNDDOWN(L$57/5, 0)*5,'2020ER'!$D$36:$D$51,'2020ER'!$L$36:$L$51))</f>
        <v>0.11991777513622186</v>
      </c>
      <c r="M99" s="902"/>
      <c r="N99" s="301"/>
      <c r="O99" s="1123"/>
      <c r="P99" s="927"/>
    </row>
    <row r="100" spans="1:16" hidden="1" x14ac:dyDescent="0.25">
      <c r="A100" s="301"/>
      <c r="B100" s="302"/>
      <c r="C100" s="359" t="s">
        <v>454</v>
      </c>
      <c r="D100" s="176">
        <f>LOOKUP(ROUNDDOWN(D$57/5, 0)*5,'2020ER'!$D$52:$D$67,'2020ER'!$L$52:$L$67)+((D$57-ROUNDDOWN(D$57/5, 0)*5)/5)*(LOOKUP(ROUNDUP(D$57/5, 0)*5,'2020ER'!$D$52:$D$67,'2020ER'!$L$52:$L$67)-LOOKUP(ROUNDDOWN(D$57/5, 0)*5,'2020ER'!$D$52:$D$67,'2020ER'!$L$52:$L$67))</f>
        <v>2.7248071955744164</v>
      </c>
      <c r="E100" s="176">
        <f>LOOKUP(ROUNDDOWN(E$57/5, 0)*5,'2020ER'!$D$52:$D$67,'2020ER'!$L$52:$L$67)+((E$57-ROUNDDOWN(E$57/5, 0)*5)/5)*(LOOKUP(ROUNDUP(E$57/5, 0)*5,'2020ER'!$D$52:$D$67,'2020ER'!$L$52:$L$67)-LOOKUP(ROUNDDOWN(E$57/5, 0)*5,'2020ER'!$D$52:$D$67,'2020ER'!$L$52:$L$67))</f>
        <v>4.7734050420323406</v>
      </c>
      <c r="F100" s="176">
        <f>LOOKUP(ROUNDDOWN(F$57/5, 0)*5,'2020ER'!$D$52:$D$67,'2020ER'!$L$52:$L$67)+((F$57-ROUNDDOWN(F$57/5, 0)*5)/5)*(LOOKUP(ROUNDUP(F$57/5, 0)*5,'2020ER'!$D$52:$D$67,'2020ER'!$L$52:$L$67)-LOOKUP(ROUNDDOWN(F$57/5, 0)*5,'2020ER'!$D$52:$D$67,'2020ER'!$L$52:$L$67))</f>
        <v>2.6932192524379612</v>
      </c>
      <c r="G100" s="176">
        <f>LOOKUP(ROUNDDOWN(G$57/5, 0)*5,'2020ER'!$D$52:$D$67,'2020ER'!$L$52:$L$67)+((G$57-ROUNDDOWN(G$57/5, 0)*5)/5)*(LOOKUP(ROUNDUP(G$57/5, 0)*5,'2020ER'!$D$52:$D$67,'2020ER'!$L$52:$L$67)-LOOKUP(ROUNDDOWN(G$57/5, 0)*5,'2020ER'!$D$52:$D$67,'2020ER'!$L$52:$L$67))</f>
        <v>2.6932192524379612</v>
      </c>
      <c r="H100" s="909"/>
      <c r="I100" s="176">
        <f>LOOKUP(ROUNDDOWN(I$57/5, 0)*5,'2020ER'!$D$52:$D$67,'2020ER'!$L$52:$L$67)+((I$57-ROUNDDOWN(I$57/5, 0)*5)/5)*(LOOKUP(ROUNDUP(I$57/5, 0)*5,'2020ER'!$D$52:$D$67,'2020ER'!$L$52:$L$67)-LOOKUP(ROUNDDOWN(I$57/5, 0)*5,'2020ER'!$D$52:$D$67,'2020ER'!$L$52:$L$67))</f>
        <v>4.7734050420323406</v>
      </c>
      <c r="J100" s="176">
        <f>LOOKUP(ROUNDDOWN(J$57/5, 0)*5,'2020ER'!$D$52:$D$67,'2020ER'!$L$52:$L$67)+((J$57-ROUNDDOWN(J$57/5, 0)*5)/5)*(LOOKUP(ROUNDUP(J$57/5, 0)*5,'2020ER'!$D$52:$D$67,'2020ER'!$L$52:$L$67)-LOOKUP(ROUNDDOWN(J$57/5, 0)*5,'2020ER'!$D$52:$D$67,'2020ER'!$L$52:$L$67))</f>
        <v>2.9628056226169268</v>
      </c>
      <c r="K100" s="176">
        <f>LOOKUP(ROUNDDOWN(K$57/5, 0)*5,'2020ER'!$D$52:$D$67,'2020ER'!$L$52:$L$67)+((K$57-ROUNDDOWN(K$57/5, 0)*5)/5)*(LOOKUP(ROUNDUP(K$57/5, 0)*5,'2020ER'!$D$52:$D$67,'2020ER'!$L$52:$L$67)-LOOKUP(ROUNDDOWN(K$57/5, 0)*5,'2020ER'!$D$52:$D$67,'2020ER'!$L$52:$L$67))</f>
        <v>2.6932192524379612</v>
      </c>
      <c r="L100" s="176">
        <f>LOOKUP(ROUNDDOWN(L$57/5, 0)*5,'2020ER'!$D$52:$D$67,'2020ER'!$L$52:$L$67)+((L$57-ROUNDDOWN(L$57/5, 0)*5)/5)*(LOOKUP(ROUNDUP(L$57/5, 0)*5,'2020ER'!$D$52:$D$67,'2020ER'!$L$52:$L$67)-LOOKUP(ROUNDDOWN(L$57/5, 0)*5,'2020ER'!$D$52:$D$67,'2020ER'!$L$52:$L$67))</f>
        <v>2.6932192524379612</v>
      </c>
      <c r="M100" s="902"/>
      <c r="N100" s="301"/>
      <c r="O100" s="1123"/>
      <c r="P100" s="927"/>
    </row>
    <row r="101" spans="1:16" hidden="1" x14ac:dyDescent="0.25">
      <c r="A101" s="301"/>
      <c r="B101" s="302"/>
      <c r="C101" s="359" t="s">
        <v>455</v>
      </c>
      <c r="D101" s="176">
        <f>LOOKUP(ROUNDDOWN(D$57/5, 0)*5,'2020ER'!$D$68:$D$83,'2020ER'!$L$68:$L$83)+((D$57-ROUNDDOWN(D$57/5, 0)*5)/5)*(LOOKUP(ROUNDUP(D$57/5, 0)*5,'2020ER'!$D$68:$D$83,'2020ER'!$L$68:$L$83)-LOOKUP(ROUNDDOWN(D$57/5, 0)*5,'2020ER'!$D$68:$D$83,'2020ER'!$L$68:$L$83))</f>
        <v>0.2122060791629623</v>
      </c>
      <c r="E101" s="176">
        <f>LOOKUP(ROUNDDOWN(E$57/5, 0)*5,'2020ER'!$D$68:$D$83,'2020ER'!$L$68:$L$83)+((E$57-ROUNDDOWN(E$57/5, 0)*5)/5)*(LOOKUP(ROUNDUP(E$57/5, 0)*5,'2020ER'!$D$68:$D$83,'2020ER'!$L$68:$L$83)-LOOKUP(ROUNDDOWN(E$57/5, 0)*5,'2020ER'!$D$68:$D$83,'2020ER'!$L$68:$L$83))</f>
        <v>0.51842513156098469</v>
      </c>
      <c r="F101" s="176">
        <f>LOOKUP(ROUNDDOWN(F$57/5, 0)*5,'2020ER'!$D$68:$D$83,'2020ER'!$L$68:$L$83)+((F$57-ROUNDDOWN(F$57/5, 0)*5)/5)*(LOOKUP(ROUNDUP(F$57/5, 0)*5,'2020ER'!$D$68:$D$83,'2020ER'!$L$68:$L$83)-LOOKUP(ROUNDDOWN(F$57/5, 0)*5,'2020ER'!$D$68:$D$83,'2020ER'!$L$68:$L$83))</f>
        <v>0.19818725280925883</v>
      </c>
      <c r="G101" s="176">
        <f>LOOKUP(ROUNDDOWN(G$57/5, 0)*5,'2020ER'!$D$68:$D$83,'2020ER'!$L$68:$L$83)+((G$57-ROUNDDOWN(G$57/5, 0)*5)/5)*(LOOKUP(ROUNDUP(G$57/5, 0)*5,'2020ER'!$D$68:$D$83,'2020ER'!$L$68:$L$83)-LOOKUP(ROUNDDOWN(G$57/5, 0)*5,'2020ER'!$D$68:$D$83,'2020ER'!$L$68:$L$83))</f>
        <v>0.19818725280925883</v>
      </c>
      <c r="H101" s="909"/>
      <c r="I101" s="176">
        <f>LOOKUP(ROUNDDOWN(I$57/5, 0)*5,'2020ER'!$D$68:$D$83,'2020ER'!$L$68:$L$83)+((I$57-ROUNDDOWN(I$57/5, 0)*5)/5)*(LOOKUP(ROUNDUP(I$57/5, 0)*5,'2020ER'!$D$68:$D$83,'2020ER'!$L$68:$L$83)-LOOKUP(ROUNDDOWN(I$57/5, 0)*5,'2020ER'!$D$68:$D$83,'2020ER'!$L$68:$L$83))</f>
        <v>0.51842513156098469</v>
      </c>
      <c r="J101" s="176">
        <f>LOOKUP(ROUNDDOWN(J$57/5, 0)*5,'2020ER'!$D$68:$D$83,'2020ER'!$L$68:$L$83)+((J$57-ROUNDDOWN(J$57/5, 0)*5)/5)*(LOOKUP(ROUNDUP(J$57/5, 0)*5,'2020ER'!$D$68:$D$83,'2020ER'!$L$68:$L$83)-LOOKUP(ROUNDDOWN(J$57/5, 0)*5,'2020ER'!$D$68:$D$83,'2020ER'!$L$68:$L$83))</f>
        <v>0.25399129989141966</v>
      </c>
      <c r="K101" s="176">
        <f>LOOKUP(ROUNDDOWN(K$57/5, 0)*5,'2020ER'!$D$68:$D$83,'2020ER'!$L$68:$L$83)+((K$57-ROUNDDOWN(K$57/5, 0)*5)/5)*(LOOKUP(ROUNDUP(K$57/5, 0)*5,'2020ER'!$D$68:$D$83,'2020ER'!$L$68:$L$83)-LOOKUP(ROUNDDOWN(K$57/5, 0)*5,'2020ER'!$D$68:$D$83,'2020ER'!$L$68:$L$83))</f>
        <v>0.19818725280925883</v>
      </c>
      <c r="L101" s="176">
        <f>LOOKUP(ROUNDDOWN(L$57/5, 0)*5,'2020ER'!$D$68:$D$83,'2020ER'!$L$68:$L$83)+((L$57-ROUNDDOWN(L$57/5, 0)*5)/5)*(LOOKUP(ROUNDUP(L$57/5, 0)*5,'2020ER'!$D$68:$D$83,'2020ER'!$L$68:$L$83)-LOOKUP(ROUNDDOWN(L$57/5, 0)*5,'2020ER'!$D$68:$D$83,'2020ER'!$L$68:$L$83))</f>
        <v>0.19818725280925883</v>
      </c>
      <c r="M101" s="902"/>
      <c r="N101" s="301"/>
      <c r="O101" s="1123"/>
      <c r="P101" s="927"/>
    </row>
    <row r="102" spans="1:16" hidden="1" x14ac:dyDescent="0.25">
      <c r="A102" s="301"/>
      <c r="B102" s="302"/>
      <c r="C102" s="359" t="s">
        <v>403</v>
      </c>
      <c r="D102" s="176">
        <f>LOOKUP(ROUNDDOWN(D$57/5, 0)*5,'2020ER'!$D$4:$D$19,'2020ER'!$Q$4:$Q$19)+((D$57-ROUNDDOWN(D$57/5, 0)*5)/5)*(LOOKUP(ROUNDUP(D$57/5, 0)*5,'2020ER'!$D$4:$D$19,'2020ER'!$Q$4:$Q$19)-LOOKUP(ROUNDDOWN(D$57/5, 0)*5,'2020ER'!$D$4:$D$19,'2020ER'!$Q$4:$Q$19))</f>
        <v>1413.2436910786673</v>
      </c>
      <c r="E102" s="176">
        <f>LOOKUP(ROUNDDOWN(E$57/5, 0)*5,'2020ER'!$D$4:$D$19,'2020ER'!$Q$4:$Q$19)+((E$57-ROUNDDOWN(E$57/5, 0)*5)/5)*(LOOKUP(ROUNDUP(E$57/5, 0)*5,'2020ER'!$D$4:$D$19,'2020ER'!$Q$4:$Q$19)-LOOKUP(ROUNDDOWN(E$57/5, 0)*5,'2020ER'!$D$4:$D$19,'2020ER'!$Q$4:$Q$19))</f>
        <v>2234.2797508702492</v>
      </c>
      <c r="F102" s="176">
        <f>LOOKUP(ROUNDDOWN(F$57/5, 0)*5,'2020ER'!$D$4:$D$19,'2020ER'!$Q$4:$Q$19)+((F$57-ROUNDDOWN(F$57/5, 0)*5)/5)*(LOOKUP(ROUNDUP(F$57/5, 0)*5,'2020ER'!$D$4:$D$19,'2020ER'!$Q$4:$Q$19)-LOOKUP(ROUNDDOWN(F$57/5, 0)*5,'2020ER'!$D$4:$D$19,'2020ER'!$Q$4:$Q$19))</f>
        <v>1389.6465724541024</v>
      </c>
      <c r="G102" s="176">
        <f>LOOKUP(ROUNDDOWN(G$57/5, 0)*5,'2020ER'!$D$4:$D$19,'2020ER'!$Q$4:$Q$19)+((G$57-ROUNDDOWN(G$57/5, 0)*5)/5)*(LOOKUP(ROUNDUP(G$57/5, 0)*5,'2020ER'!$D$4:$D$19,'2020ER'!$Q$4:$Q$19)-LOOKUP(ROUNDDOWN(G$57/5, 0)*5,'2020ER'!$D$4:$D$19,'2020ER'!$Q$4:$Q$19))</f>
        <v>1389.6465724541024</v>
      </c>
      <c r="H102" s="909"/>
      <c r="I102" s="176">
        <f>LOOKUP(ROUNDDOWN(I$57/5, 0)*5,'2020ER'!$D$4:$D$19,'2020ER'!$Q$4:$Q$19)+((I$57-ROUNDDOWN(I$57/5, 0)*5)/5)*(LOOKUP(ROUNDUP(I$57/5, 0)*5,'2020ER'!$D$4:$D$19,'2020ER'!$Q$4:$Q$19)-LOOKUP(ROUNDDOWN(I$57/5, 0)*5,'2020ER'!$D$4:$D$19,'2020ER'!$Q$4:$Q$19))</f>
        <v>2234.2797508702492</v>
      </c>
      <c r="J102" s="176">
        <f>LOOKUP(ROUNDDOWN(J$57/5, 0)*5,'2020ER'!$D$4:$D$19,'2020ER'!$Q$4:$Q$19)+((J$57-ROUNDDOWN(J$57/5, 0)*5)/5)*(LOOKUP(ROUNDUP(J$57/5, 0)*5,'2020ER'!$D$4:$D$19,'2020ER'!$Q$4:$Q$19)-LOOKUP(ROUNDDOWN(J$57/5, 0)*5,'2020ER'!$D$4:$D$19,'2020ER'!$Q$4:$Q$19))</f>
        <v>1567.1385608618718</v>
      </c>
      <c r="K102" s="176">
        <f>LOOKUP(ROUNDDOWN(K$57/5, 0)*5,'2020ER'!$D$4:$D$19,'2020ER'!$Q$4:$Q$19)+((K$57-ROUNDDOWN(K$57/5, 0)*5)/5)*(LOOKUP(ROUNDUP(K$57/5, 0)*5,'2020ER'!$D$4:$D$19,'2020ER'!$Q$4:$Q$19)-LOOKUP(ROUNDDOWN(K$57/5, 0)*5,'2020ER'!$D$4:$D$19,'2020ER'!$Q$4:$Q$19))</f>
        <v>1389.6465724541024</v>
      </c>
      <c r="L102" s="176">
        <f>LOOKUP(ROUNDDOWN(L$57/5, 0)*5,'2020ER'!$D$4:$D$19,'2020ER'!$Q$4:$Q$19)+((L$57-ROUNDDOWN(L$57/5, 0)*5)/5)*(LOOKUP(ROUNDUP(L$57/5, 0)*5,'2020ER'!$D$4:$D$19,'2020ER'!$Q$4:$Q$19)-LOOKUP(ROUNDDOWN(L$57/5, 0)*5,'2020ER'!$D$4:$D$19,'2020ER'!$Q$4:$Q$19))</f>
        <v>1389.6465724541024</v>
      </c>
      <c r="M102" s="902"/>
      <c r="N102" s="301"/>
      <c r="O102" s="1123"/>
      <c r="P102" s="927"/>
    </row>
    <row r="103" spans="1:16" hidden="1" x14ac:dyDescent="0.25">
      <c r="A103" s="301"/>
      <c r="B103" s="302"/>
      <c r="C103" s="359" t="s">
        <v>405</v>
      </c>
      <c r="D103" s="176">
        <f>LOOKUP(ROUNDDOWN(D$57/5, 0)*5,'2020ER'!$D$20:$D$35,'2020ER'!$Q$20:$Q$35)+((D$57-ROUNDDOWN(D$57/5, 0)*5)/5)*(LOOKUP(ROUNDUP(D$57/5, 0)*5,'2020ER'!$D$20:$D$35,'2020ER'!$Q$20:$Q$35)-LOOKUP(ROUNDDOWN(D$57/5, 0)*5,'2020ER'!$D$20:$D$35,'2020ER'!$Q$20:$Q$35))</f>
        <v>2.2162308807623505</v>
      </c>
      <c r="E103" s="176">
        <f>LOOKUP(ROUNDDOWN(E$57/5, 0)*5,'2020ER'!$D$20:$D$35,'2020ER'!$Q$20:$Q$35)+((E$57-ROUNDDOWN(E$57/5, 0)*5)/5)*(LOOKUP(ROUNDUP(E$57/5, 0)*5,'2020ER'!$D$20:$D$35,'2020ER'!$Q$20:$Q$35)-LOOKUP(ROUNDDOWN(E$57/5, 0)*5,'2020ER'!$D$20:$D$35,'2020ER'!$Q$20:$Q$35))</f>
        <v>3.515456478332418</v>
      </c>
      <c r="F103" s="176">
        <f>LOOKUP(ROUNDDOWN(F$57/5, 0)*5,'2020ER'!$D$20:$D$35,'2020ER'!$Q$20:$Q$35)+((F$57-ROUNDDOWN(F$57/5, 0)*5)/5)*(LOOKUP(ROUNDUP(F$57/5, 0)*5,'2020ER'!$D$20:$D$35,'2020ER'!$Q$20:$Q$35)-LOOKUP(ROUNDDOWN(F$57/5, 0)*5,'2020ER'!$D$20:$D$35,'2020ER'!$Q$20:$Q$35))</f>
        <v>2.1691009952574154</v>
      </c>
      <c r="G103" s="176">
        <f>LOOKUP(ROUNDDOWN(G$57/5, 0)*5,'2020ER'!$D$20:$D$35,'2020ER'!$Q$20:$Q$35)+((G$57-ROUNDDOWN(G$57/5, 0)*5)/5)*(LOOKUP(ROUNDUP(G$57/5, 0)*5,'2020ER'!$D$20:$D$35,'2020ER'!$Q$20:$Q$35)-LOOKUP(ROUNDDOWN(G$57/5, 0)*5,'2020ER'!$D$20:$D$35,'2020ER'!$Q$20:$Q$35))</f>
        <v>2.1691009952574154</v>
      </c>
      <c r="H103" s="909"/>
      <c r="I103" s="176">
        <f>LOOKUP(ROUNDDOWN(I$57/5, 0)*5,'2020ER'!$D$20:$D$35,'2020ER'!$Q$20:$Q$35)+((I$57-ROUNDDOWN(I$57/5, 0)*5)/5)*(LOOKUP(ROUNDUP(I$57/5, 0)*5,'2020ER'!$D$20:$D$35,'2020ER'!$Q$20:$Q$35)-LOOKUP(ROUNDDOWN(I$57/5, 0)*5,'2020ER'!$D$20:$D$35,'2020ER'!$Q$20:$Q$35))</f>
        <v>3.515456478332418</v>
      </c>
      <c r="J103" s="176">
        <f>LOOKUP(ROUNDDOWN(J$57/5, 0)*5,'2020ER'!$D$20:$D$35,'2020ER'!$Q$20:$Q$35)+((J$57-ROUNDDOWN(J$57/5, 0)*5)/5)*(LOOKUP(ROUNDUP(J$57/5, 0)*5,'2020ER'!$D$20:$D$35,'2020ER'!$Q$20:$Q$35)-LOOKUP(ROUNDDOWN(J$57/5, 0)*5,'2020ER'!$D$20:$D$35,'2020ER'!$Q$20:$Q$35))</f>
        <v>2.3916457098016131</v>
      </c>
      <c r="K103" s="176">
        <f>LOOKUP(ROUNDDOWN(K$57/5, 0)*5,'2020ER'!$D$20:$D$35,'2020ER'!$Q$20:$Q$35)+((K$57-ROUNDDOWN(K$57/5, 0)*5)/5)*(LOOKUP(ROUNDUP(K$57/5, 0)*5,'2020ER'!$D$20:$D$35,'2020ER'!$Q$20:$Q$35)-LOOKUP(ROUNDDOWN(K$57/5, 0)*5,'2020ER'!$D$20:$D$35,'2020ER'!$Q$20:$Q$35))</f>
        <v>2.1691009952574154</v>
      </c>
      <c r="L103" s="176">
        <f>LOOKUP(ROUNDDOWN(L$57/5, 0)*5,'2020ER'!$D$20:$D$35,'2020ER'!$Q$20:$Q$35)+((L$57-ROUNDDOWN(L$57/5, 0)*5)/5)*(LOOKUP(ROUNDUP(L$57/5, 0)*5,'2020ER'!$D$20:$D$35,'2020ER'!$Q$20:$Q$35)-LOOKUP(ROUNDDOWN(L$57/5, 0)*5,'2020ER'!$D$20:$D$35,'2020ER'!$Q$20:$Q$35))</f>
        <v>2.1691009952574154</v>
      </c>
      <c r="M103" s="902"/>
      <c r="N103" s="301"/>
      <c r="O103" s="1123"/>
      <c r="P103" s="927"/>
    </row>
    <row r="104" spans="1:16" hidden="1" x14ac:dyDescent="0.25">
      <c r="A104" s="301"/>
      <c r="B104" s="302"/>
      <c r="C104" s="359" t="s">
        <v>404</v>
      </c>
      <c r="D104" s="175">
        <f>LOOKUP(ROUNDDOWN(D$57/5, 0)*5,'2020ER'!$D$36:$D$51,'2020ER'!$Q$36:$Q$51)+((D$57-ROUNDDOWN(D$57/5, 0)*5)/5)*(LOOKUP(ROUNDUP(D$57/5, 0)*5,'2020ER'!$D$36:$D$51,'2020ER'!$Q$36:$Q$51)-LOOKUP(ROUNDDOWN(D$57/5, 0)*5,'2020ER'!$D$36:$D$51,'2020ER'!$Q$36:$Q$51))</f>
        <v>6.7568393288487918E-2</v>
      </c>
      <c r="E104" s="175">
        <f>LOOKUP(ROUNDDOWN(E$57/5, 0)*5,'2020ER'!$D$36:$D$51,'2020ER'!$Q$36:$Q$51)+((E$57-ROUNDDOWN(E$57/5, 0)*5)/5)*(LOOKUP(ROUNDUP(E$57/5, 0)*5,'2020ER'!$D$36:$D$51,'2020ER'!$Q$36:$Q$51)-LOOKUP(ROUNDDOWN(E$57/5, 0)*5,'2020ER'!$D$36:$D$51,'2020ER'!$Q$36:$Q$51))</f>
        <v>0.19310774127379279</v>
      </c>
      <c r="F104" s="175">
        <f>LOOKUP(ROUNDDOWN(F$57/5, 0)*5,'2020ER'!$D$36:$D$51,'2020ER'!$Q$36:$Q$51)+((F$57-ROUNDDOWN(F$57/5, 0)*5)/5)*(LOOKUP(ROUNDUP(F$57/5, 0)*5,'2020ER'!$D$36:$D$51,'2020ER'!$Q$36:$Q$51)-LOOKUP(ROUNDDOWN(F$57/5, 0)*5,'2020ER'!$D$36:$D$51,'2020ER'!$Q$36:$Q$51))</f>
        <v>6.1789303528369553E-2</v>
      </c>
      <c r="G104" s="175">
        <f>LOOKUP(ROUNDDOWN(G$57/5, 0)*5,'2020ER'!$D$36:$D$51,'2020ER'!$Q$36:$Q$51)+((G$57-ROUNDDOWN(G$57/5, 0)*5)/5)*(LOOKUP(ROUNDUP(G$57/5, 0)*5,'2020ER'!$D$36:$D$51,'2020ER'!$Q$36:$Q$51)-LOOKUP(ROUNDDOWN(G$57/5, 0)*5,'2020ER'!$D$36:$D$51,'2020ER'!$Q$36:$Q$51))</f>
        <v>6.1789303528369553E-2</v>
      </c>
      <c r="H104" s="909"/>
      <c r="I104" s="175">
        <f>LOOKUP(ROUNDDOWN(I$57/5, 0)*5,'2020ER'!$D$36:$D$51,'2020ER'!$Q$36:$Q$51)+((I$57-ROUNDDOWN(I$57/5, 0)*5)/5)*(LOOKUP(ROUNDUP(I$57/5, 0)*5,'2020ER'!$D$36:$D$51,'2020ER'!$Q$36:$Q$51)-LOOKUP(ROUNDDOWN(I$57/5, 0)*5,'2020ER'!$D$36:$D$51,'2020ER'!$Q$36:$Q$51))</f>
        <v>0.19310774127379279</v>
      </c>
      <c r="J104" s="175">
        <f>LOOKUP(ROUNDDOWN(J$57/5, 0)*5,'2020ER'!$D$36:$D$51,'2020ER'!$Q$36:$Q$51)+((J$57-ROUNDDOWN(J$57/5, 0)*5)/5)*(LOOKUP(ROUNDUP(J$57/5, 0)*5,'2020ER'!$D$36:$D$51,'2020ER'!$Q$36:$Q$51)-LOOKUP(ROUNDDOWN(J$57/5, 0)*5,'2020ER'!$D$36:$D$51,'2020ER'!$Q$36:$Q$51))</f>
        <v>9.3464304639507612E-2</v>
      </c>
      <c r="K104" s="175">
        <f>LOOKUP(ROUNDDOWN(K$57/5, 0)*5,'2020ER'!$D$36:$D$51,'2020ER'!$Q$36:$Q$51)+((K$57-ROUNDDOWN(K$57/5, 0)*5)/5)*(LOOKUP(ROUNDUP(K$57/5, 0)*5,'2020ER'!$D$36:$D$51,'2020ER'!$Q$36:$Q$51)-LOOKUP(ROUNDDOWN(K$57/5, 0)*5,'2020ER'!$D$36:$D$51,'2020ER'!$Q$36:$Q$51))</f>
        <v>6.1789303528369553E-2</v>
      </c>
      <c r="L104" s="175">
        <f>LOOKUP(ROUNDDOWN(L$57/5, 0)*5,'2020ER'!$D$36:$D$51,'2020ER'!$Q$36:$Q$51)+((L$57-ROUNDDOWN(L$57/5, 0)*5)/5)*(LOOKUP(ROUNDUP(L$57/5, 0)*5,'2020ER'!$D$36:$D$51,'2020ER'!$Q$36:$Q$51)-LOOKUP(ROUNDDOWN(L$57/5, 0)*5,'2020ER'!$D$36:$D$51,'2020ER'!$Q$36:$Q$51))</f>
        <v>6.1789303528369553E-2</v>
      </c>
      <c r="M104" s="901"/>
      <c r="N104" s="301"/>
      <c r="O104" s="1123"/>
      <c r="P104" s="927"/>
    </row>
    <row r="105" spans="1:16" hidden="1" x14ac:dyDescent="0.25">
      <c r="A105" s="301"/>
      <c r="B105" s="302"/>
      <c r="C105" s="359" t="s">
        <v>427</v>
      </c>
      <c r="D105" s="175">
        <f>LOOKUP(ROUNDDOWN(D$57/5, 0)*5,'2020ER'!$D$52:$D$67,'2020ER'!$Q$52:$Q$67)+((D$57-ROUNDDOWN(D$57/5, 0)*5)/5)*(LOOKUP(ROUNDUP(D$57/5, 0)*5,'2020ER'!$D$52:$D$67,'2020ER'!$Q$52:$Q$67)-LOOKUP(ROUNDDOWN(D$57/5, 0)*5,'2020ER'!$D$52:$D$67,'2020ER'!$Q$52:$Q$67))</f>
        <v>1.9663738648848406</v>
      </c>
      <c r="E105" s="175">
        <f>LOOKUP(ROUNDDOWN(E$57/5, 0)*5,'2020ER'!$D$52:$D$67,'2020ER'!$Q$52:$Q$67)+((E$57-ROUNDDOWN(E$57/5, 0)*5)/5)*(LOOKUP(ROUNDUP(E$57/5, 0)*5,'2020ER'!$D$52:$D$67,'2020ER'!$Q$52:$Q$67)-LOOKUP(ROUNDDOWN(E$57/5, 0)*5,'2020ER'!$D$52:$D$67,'2020ER'!$Q$52:$Q$67))</f>
        <v>3.0364979347066239</v>
      </c>
      <c r="F105" s="175">
        <f>LOOKUP(ROUNDDOWN(F$57/5, 0)*5,'2020ER'!$D$52:$D$67,'2020ER'!$Q$52:$Q$67)+((F$57-ROUNDDOWN(F$57/5, 0)*5)/5)*(LOOKUP(ROUNDUP(F$57/5, 0)*5,'2020ER'!$D$52:$D$67,'2020ER'!$Q$52:$Q$67)-LOOKUP(ROUNDDOWN(F$57/5, 0)*5,'2020ER'!$D$52:$D$67,'2020ER'!$Q$52:$Q$67))</f>
        <v>1.9251308467587258</v>
      </c>
      <c r="G105" s="175">
        <f>LOOKUP(ROUNDDOWN(G$57/5, 0)*5,'2020ER'!$D$52:$D$67,'2020ER'!$Q$52:$Q$67)+((G$57-ROUNDDOWN(G$57/5, 0)*5)/5)*(LOOKUP(ROUNDUP(G$57/5, 0)*5,'2020ER'!$D$52:$D$67,'2020ER'!$Q$52:$Q$67)-LOOKUP(ROUNDDOWN(G$57/5, 0)*5,'2020ER'!$D$52:$D$67,'2020ER'!$Q$52:$Q$67))</f>
        <v>1.9251308467587258</v>
      </c>
      <c r="H105" s="909"/>
      <c r="I105" s="175">
        <f>LOOKUP(ROUNDDOWN(I$57/5, 0)*5,'2020ER'!$D$52:$D$67,'2020ER'!$Q$52:$Q$67)+((I$57-ROUNDDOWN(I$57/5, 0)*5)/5)*(LOOKUP(ROUNDUP(I$57/5, 0)*5,'2020ER'!$D$52:$D$67,'2020ER'!$Q$52:$Q$67)-LOOKUP(ROUNDDOWN(I$57/5, 0)*5,'2020ER'!$D$52:$D$67,'2020ER'!$Q$52:$Q$67))</f>
        <v>3.0364979347066239</v>
      </c>
      <c r="J105" s="175">
        <f>LOOKUP(ROUNDDOWN(J$57/5, 0)*5,'2020ER'!$D$52:$D$67,'2020ER'!$Q$52:$Q$67)+((J$57-ROUNDDOWN(J$57/5, 0)*5)/5)*(LOOKUP(ROUNDUP(J$57/5, 0)*5,'2020ER'!$D$52:$D$67,'2020ER'!$Q$52:$Q$67)-LOOKUP(ROUNDDOWN(J$57/5, 0)*5,'2020ER'!$D$52:$D$67,'2020ER'!$Q$52:$Q$67))</f>
        <v>2.1119816408538745</v>
      </c>
      <c r="K105" s="175">
        <f>LOOKUP(ROUNDDOWN(K$57/5, 0)*5,'2020ER'!$D$52:$D$67,'2020ER'!$Q$52:$Q$67)+((K$57-ROUNDDOWN(K$57/5, 0)*5)/5)*(LOOKUP(ROUNDUP(K$57/5, 0)*5,'2020ER'!$D$52:$D$67,'2020ER'!$Q$52:$Q$67)-LOOKUP(ROUNDDOWN(K$57/5, 0)*5,'2020ER'!$D$52:$D$67,'2020ER'!$Q$52:$Q$67))</f>
        <v>1.9251308467587258</v>
      </c>
      <c r="L105" s="175">
        <f>LOOKUP(ROUNDDOWN(L$57/5, 0)*5,'2020ER'!$D$52:$D$67,'2020ER'!$Q$52:$Q$67)+((L$57-ROUNDDOWN(L$57/5, 0)*5)/5)*(LOOKUP(ROUNDUP(L$57/5, 0)*5,'2020ER'!$D$52:$D$67,'2020ER'!$Q$52:$Q$67)-LOOKUP(ROUNDDOWN(L$57/5, 0)*5,'2020ER'!$D$52:$D$67,'2020ER'!$Q$52:$Q$67))</f>
        <v>1.9251308467587258</v>
      </c>
      <c r="M105" s="901"/>
      <c r="N105" s="301"/>
      <c r="O105" s="1123"/>
      <c r="P105" s="927"/>
    </row>
    <row r="106" spans="1:16" hidden="1" x14ac:dyDescent="0.25">
      <c r="A106" s="301"/>
      <c r="B106" s="302"/>
      <c r="C106" s="359" t="s">
        <v>425</v>
      </c>
      <c r="D106" s="175">
        <f>LOOKUP(ROUNDDOWN(D$57/5, 0)*5,'2020ER'!$D$68:$D$83,'2020ER'!$Q$68:$Q$83)+((D$57-ROUNDDOWN(D$57/5, 0)*5)/5)*(LOOKUP(ROUNDUP(D$57/5, 0)*5,'2020ER'!$D$68:$D$83,'2020ER'!$Q$68:$Q$83)-LOOKUP(ROUNDDOWN(D$57/5, 0)*5,'2020ER'!$D$68:$D$83,'2020ER'!$Q$68:$Q$83))</f>
        <v>0.18918370545055271</v>
      </c>
      <c r="E106" s="175">
        <f>LOOKUP(ROUNDDOWN(E$57/5, 0)*5,'2020ER'!$D$68:$D$83,'2020ER'!$Q$68:$Q$83)+((E$57-ROUNDDOWN(E$57/5, 0)*5)/5)*(LOOKUP(ROUNDUP(E$57/5, 0)*5,'2020ER'!$D$68:$D$83,'2020ER'!$Q$68:$Q$83)-LOOKUP(ROUNDDOWN(E$57/5, 0)*5,'2020ER'!$D$68:$D$83,'2020ER'!$Q$68:$Q$83))</f>
        <v>0.47868139821439459</v>
      </c>
      <c r="F106" s="175">
        <f>LOOKUP(ROUNDDOWN(F$57/5, 0)*5,'2020ER'!$D$68:$D$83,'2020ER'!$Q$68:$Q$83)+((F$57-ROUNDDOWN(F$57/5, 0)*5)/5)*(LOOKUP(ROUNDUP(F$57/5, 0)*5,'2020ER'!$D$68:$D$83,'2020ER'!$Q$68:$Q$83)-LOOKUP(ROUNDDOWN(F$57/5, 0)*5,'2020ER'!$D$68:$D$83,'2020ER'!$Q$68:$Q$83))</f>
        <v>0.17275939345458424</v>
      </c>
      <c r="G106" s="175">
        <f>LOOKUP(ROUNDDOWN(G$57/5, 0)*5,'2020ER'!$D$68:$D$83,'2020ER'!$Q$68:$Q$83)+((G$57-ROUNDDOWN(G$57/5, 0)*5)/5)*(LOOKUP(ROUNDUP(G$57/5, 0)*5,'2020ER'!$D$68:$D$83,'2020ER'!$Q$68:$Q$83)-LOOKUP(ROUNDDOWN(G$57/5, 0)*5,'2020ER'!$D$68:$D$83,'2020ER'!$Q$68:$Q$83))</f>
        <v>0.17275939345458424</v>
      </c>
      <c r="H106" s="909"/>
      <c r="I106" s="175">
        <f>LOOKUP(ROUNDDOWN(I$57/5, 0)*5,'2020ER'!$D$68:$D$83,'2020ER'!$Q$68:$Q$83)+((I$57-ROUNDDOWN(I$57/5, 0)*5)/5)*(LOOKUP(ROUNDUP(I$57/5, 0)*5,'2020ER'!$D$68:$D$83,'2020ER'!$Q$68:$Q$83)-LOOKUP(ROUNDDOWN(I$57/5, 0)*5,'2020ER'!$D$68:$D$83,'2020ER'!$Q$68:$Q$83))</f>
        <v>0.47868139821439459</v>
      </c>
      <c r="J106" s="175">
        <f>LOOKUP(ROUNDDOWN(J$57/5, 0)*5,'2020ER'!$D$68:$D$83,'2020ER'!$Q$68:$Q$83)+((J$57-ROUNDDOWN(J$57/5, 0)*5)/5)*(LOOKUP(ROUNDUP(J$57/5, 0)*5,'2020ER'!$D$68:$D$83,'2020ER'!$Q$68:$Q$83)-LOOKUP(ROUNDDOWN(J$57/5, 0)*5,'2020ER'!$D$68:$D$83,'2020ER'!$Q$68:$Q$83))</f>
        <v>0.24302302617053045</v>
      </c>
      <c r="K106" s="175">
        <f>LOOKUP(ROUNDDOWN(K$57/5, 0)*5,'2020ER'!$D$68:$D$83,'2020ER'!$Q$68:$Q$83)+((K$57-ROUNDDOWN(K$57/5, 0)*5)/5)*(LOOKUP(ROUNDUP(K$57/5, 0)*5,'2020ER'!$D$68:$D$83,'2020ER'!$Q$68:$Q$83)-LOOKUP(ROUNDDOWN(K$57/5, 0)*5,'2020ER'!$D$68:$D$83,'2020ER'!$Q$68:$Q$83))</f>
        <v>0.17275939345458424</v>
      </c>
      <c r="L106" s="175">
        <f>LOOKUP(ROUNDDOWN(L$57/5, 0)*5,'2020ER'!$D$68:$D$83,'2020ER'!$Q$68:$Q$83)+((L$57-ROUNDDOWN(L$57/5, 0)*5)/5)*(LOOKUP(ROUNDUP(L$57/5, 0)*5,'2020ER'!$D$68:$D$83,'2020ER'!$Q$68:$Q$83)-LOOKUP(ROUNDDOWN(L$57/5, 0)*5,'2020ER'!$D$68:$D$83,'2020ER'!$Q$68:$Q$83))</f>
        <v>0.17275939345458424</v>
      </c>
      <c r="M106" s="901"/>
      <c r="N106" s="301"/>
      <c r="O106" s="1123"/>
      <c r="P106" s="927"/>
    </row>
    <row r="107" spans="1:16" hidden="1" x14ac:dyDescent="0.25">
      <c r="A107" s="301"/>
      <c r="B107" s="302"/>
      <c r="C107" s="591" t="s">
        <v>469</v>
      </c>
      <c r="D107" s="392"/>
      <c r="E107" s="392"/>
      <c r="F107" s="392"/>
      <c r="G107" s="392"/>
      <c r="H107" s="897"/>
      <c r="I107" s="392"/>
      <c r="J107" s="392"/>
      <c r="K107" s="392"/>
      <c r="L107" s="392"/>
      <c r="M107" s="392"/>
      <c r="N107" s="301"/>
      <c r="O107" s="1123"/>
      <c r="P107" s="927"/>
    </row>
    <row r="108" spans="1:16" hidden="1" x14ac:dyDescent="0.25">
      <c r="A108" s="301"/>
      <c r="B108" s="302"/>
      <c r="C108" s="359" t="s">
        <v>348</v>
      </c>
      <c r="D108" s="176">
        <f>LOOKUP(ROUNDDOWN(D$58/5, 0)*5,'2020ER'!$D$4:$D$19,'2020ER'!$G$4:$G$19)+((D$58-ROUNDDOWN(D$58/5, 0)*5)/5)*(LOOKUP(ROUNDUP(D$58/5, 0)*5,'2020ER'!$D$4:$D$19,'2020ER'!$G$4:$G$19)-LOOKUP(ROUNDDOWN(D$58/5, 0)*5,'2020ER'!$D$4:$D$19,'2020ER'!$G$4:$G$19))</f>
        <v>319.82752801573344</v>
      </c>
      <c r="E108" s="176">
        <f>LOOKUP(ROUNDDOWN(E$58/5, 0)*5,'2020ER'!$D$4:$D$19,'2020ER'!$G$4:$G$19)+((E$58-ROUNDDOWN(E$58/5, 0)*5)/5)*(LOOKUP(ROUNDUP(E$58/5, 0)*5,'2020ER'!$D$4:$D$19,'2020ER'!$G$4:$G$19)-LOOKUP(ROUNDDOWN(E$58/5, 0)*5,'2020ER'!$D$4:$D$19,'2020ER'!$G$4:$G$19))</f>
        <v>396.60632813983068</v>
      </c>
      <c r="F108" s="176">
        <f>LOOKUP(ROUNDDOWN(F$58/5, 0)*5,'2020ER'!$D$4:$D$19,'2020ER'!$G$4:$G$19)+((F$58-ROUNDDOWN(F$58/5, 0)*5)/5)*(LOOKUP(ROUNDUP(F$58/5, 0)*5,'2020ER'!$D$4:$D$19,'2020ER'!$G$4:$G$19)-LOOKUP(ROUNDDOWN(F$58/5, 0)*5,'2020ER'!$D$4:$D$19,'2020ER'!$G$4:$G$19))</f>
        <v>315.66326015558161</v>
      </c>
      <c r="G108" s="176">
        <f>LOOKUP(ROUNDDOWN(G$58/5, 0)*5,'2020ER'!$D$4:$D$19,'2020ER'!$G$4:$G$19)+((G$58-ROUNDDOWN(G$58/5, 0)*5)/5)*(LOOKUP(ROUNDUP(G$58/5, 0)*5,'2020ER'!$D$4:$D$19,'2020ER'!$G$4:$G$19)-LOOKUP(ROUNDDOWN(G$58/5, 0)*5,'2020ER'!$D$4:$D$19,'2020ER'!$G$4:$G$19))</f>
        <v>370.25333650290253</v>
      </c>
      <c r="H108" s="909"/>
      <c r="I108" s="176">
        <f>LOOKUP(ROUNDDOWN(I$58/5, 0)*5,'2020ER'!$D$4:$D$19,'2020ER'!$G$4:$G$19)+((I$58-ROUNDDOWN(I$58/5, 0)*5)/5)*(LOOKUP(ROUNDUP(I$58/5, 0)*5,'2020ER'!$D$4:$D$19,'2020ER'!$G$4:$G$19)-LOOKUP(ROUNDDOWN(I$58/5, 0)*5,'2020ER'!$D$4:$D$19,'2020ER'!$G$4:$G$19))</f>
        <v>396.60632813983068</v>
      </c>
      <c r="J108" s="176">
        <f>LOOKUP(ROUNDDOWN(J$58/5, 0)*5,'2020ER'!$D$4:$D$19,'2020ER'!$G$4:$G$19)+((J$58-ROUNDDOWN(J$58/5, 0)*5)/5)*(LOOKUP(ROUNDUP(J$58/5, 0)*5,'2020ER'!$D$4:$D$19,'2020ER'!$G$4:$G$19)-LOOKUP(ROUNDDOWN(J$58/5, 0)*5,'2020ER'!$D$4:$D$19,'2020ER'!$G$4:$G$19))</f>
        <v>339.12944393630403</v>
      </c>
      <c r="K108" s="176">
        <f>LOOKUP(ROUNDDOWN(K$58/5, 0)*5,'2020ER'!$D$4:$D$19,'2020ER'!$G$4:$G$19)+((K$58-ROUNDDOWN(K$58/5, 0)*5)/5)*(LOOKUP(ROUNDUP(K$58/5, 0)*5,'2020ER'!$D$4:$D$19,'2020ER'!$G$4:$G$19)-LOOKUP(ROUNDDOWN(K$58/5, 0)*5,'2020ER'!$D$4:$D$19,'2020ER'!$G$4:$G$19))</f>
        <v>370.25333650290253</v>
      </c>
      <c r="L108" s="176">
        <f>LOOKUP(ROUNDDOWN(L$58/5, 0)*5,'2020ER'!$D$4:$D$19,'2020ER'!$G$4:$G$19)+((L$58-ROUNDDOWN(L$58/5, 0)*5)/5)*(LOOKUP(ROUNDUP(L$58/5, 0)*5,'2020ER'!$D$4:$D$19,'2020ER'!$G$4:$G$19)-LOOKUP(ROUNDDOWN(L$58/5, 0)*5,'2020ER'!$D$4:$D$19,'2020ER'!$G$4:$G$19))</f>
        <v>315.66326015558161</v>
      </c>
      <c r="M108" s="902"/>
      <c r="N108" s="301"/>
      <c r="O108" s="1123"/>
      <c r="P108" s="927"/>
    </row>
    <row r="109" spans="1:16" hidden="1" x14ac:dyDescent="0.25">
      <c r="A109" s="301"/>
      <c r="B109" s="302"/>
      <c r="C109" s="359" t="s">
        <v>351</v>
      </c>
      <c r="D109" s="176">
        <f>LOOKUP(ROUNDDOWN(D$58/5, 0)*5,'2020ER'!$D$20:$D$35,'2020ER'!$G$20:$G$35)+((D$58-ROUNDDOWN(D$58/5, 0)*5)/5)*(LOOKUP(ROUNDUP(D$58/5, 0)*5,'2020ER'!$D$20:$D$35,'2020ER'!$G$20:$G$35)-LOOKUP(ROUNDDOWN(D$58/5, 0)*5,'2020ER'!$D$20:$D$35,'2020ER'!$G$20:$G$35))</f>
        <v>0.23320075704093945</v>
      </c>
      <c r="E109" s="176">
        <f>LOOKUP(ROUNDDOWN(E$58/5, 0)*5,'2020ER'!$D$20:$D$35,'2020ER'!$G$20:$G$35)+((E$58-ROUNDDOWN(E$58/5, 0)*5)/5)*(LOOKUP(ROUNDUP(E$58/5, 0)*5,'2020ER'!$D$20:$D$35,'2020ER'!$G$20:$G$35)-LOOKUP(ROUNDDOWN(E$58/5, 0)*5,'2020ER'!$D$20:$D$35,'2020ER'!$G$20:$G$35))</f>
        <v>0.20065179807081118</v>
      </c>
      <c r="F109" s="176">
        <f>LOOKUP(ROUNDDOWN(F$58/5, 0)*5,'2020ER'!$D$20:$D$35,'2020ER'!$G$20:$G$35)+((F$58-ROUNDDOWN(F$58/5, 0)*5)/5)*(LOOKUP(ROUNDUP(F$58/5, 0)*5,'2020ER'!$D$20:$D$35,'2020ER'!$G$20:$G$35)-LOOKUP(ROUNDDOWN(F$58/5, 0)*5,'2020ER'!$D$20:$D$35,'2020ER'!$G$20:$G$35))</f>
        <v>0.23677352603724877</v>
      </c>
      <c r="G109" s="176">
        <f>LOOKUP(ROUNDDOWN(G$58/5, 0)*5,'2020ER'!$D$20:$D$35,'2020ER'!$G$20:$G$35)+((G$58-ROUNDDOWN(G$58/5, 0)*5)/5)*(LOOKUP(ROUNDUP(G$58/5, 0)*5,'2020ER'!$D$20:$D$35,'2020ER'!$G$20:$G$35)-LOOKUP(ROUNDDOWN(G$58/5, 0)*5,'2020ER'!$D$20:$D$35,'2020ER'!$G$20:$G$35))</f>
        <v>0.20043212076830766</v>
      </c>
      <c r="H109" s="909"/>
      <c r="I109" s="176">
        <f>LOOKUP(ROUNDDOWN(I$58/5, 0)*5,'2020ER'!$D$20:$D$35,'2020ER'!$G$20:$G$35)+((I$58-ROUNDDOWN(I$58/5, 0)*5)/5)*(LOOKUP(ROUNDUP(I$58/5, 0)*5,'2020ER'!$D$20:$D$35,'2020ER'!$G$20:$G$35)-LOOKUP(ROUNDDOWN(I$58/5, 0)*5,'2020ER'!$D$20:$D$35,'2020ER'!$G$20:$G$35))</f>
        <v>0.20065179807081118</v>
      </c>
      <c r="J109" s="176">
        <f>LOOKUP(ROUNDDOWN(J$58/5, 0)*5,'2020ER'!$D$20:$D$35,'2020ER'!$G$20:$G$35)+((J$58-ROUNDDOWN(J$58/5, 0)*5)/5)*(LOOKUP(ROUNDUP(J$58/5, 0)*5,'2020ER'!$D$20:$D$35,'2020ER'!$G$20:$G$35)-LOOKUP(ROUNDDOWN(J$58/5, 0)*5,'2020ER'!$D$20:$D$35,'2020ER'!$G$20:$G$35))</f>
        <v>0.22959389760704538</v>
      </c>
      <c r="K109" s="176">
        <f>LOOKUP(ROUNDDOWN(K$58/5, 0)*5,'2020ER'!$D$20:$D$35,'2020ER'!$G$20:$G$35)+((K$58-ROUNDDOWN(K$58/5, 0)*5)/5)*(LOOKUP(ROUNDUP(K$58/5, 0)*5,'2020ER'!$D$20:$D$35,'2020ER'!$G$20:$G$35)-LOOKUP(ROUNDDOWN(K$58/5, 0)*5,'2020ER'!$D$20:$D$35,'2020ER'!$G$20:$G$35))</f>
        <v>0.20043212076830766</v>
      </c>
      <c r="L109" s="176">
        <f>LOOKUP(ROUNDDOWN(L$58/5, 0)*5,'2020ER'!$D$20:$D$35,'2020ER'!$G$20:$G$35)+((L$58-ROUNDDOWN(L$58/5, 0)*5)/5)*(LOOKUP(ROUNDUP(L$58/5, 0)*5,'2020ER'!$D$20:$D$35,'2020ER'!$G$20:$G$35)-LOOKUP(ROUNDDOWN(L$58/5, 0)*5,'2020ER'!$D$20:$D$35,'2020ER'!$G$20:$G$35))</f>
        <v>0.23677352603724877</v>
      </c>
      <c r="M109" s="902"/>
      <c r="N109" s="301"/>
      <c r="O109" s="1123"/>
      <c r="P109" s="927"/>
    </row>
    <row r="110" spans="1:16" hidden="1" x14ac:dyDescent="0.25">
      <c r="A110" s="301"/>
      <c r="B110" s="302"/>
      <c r="C110" s="359" t="s">
        <v>377</v>
      </c>
      <c r="D110" s="176">
        <f>LOOKUP(ROUNDDOWN(D$58/5, 0)*5,'2020ER'!$D$36:$D$51,'2020ER'!$G$36:$G$51)+((D$58-ROUNDDOWN(D$58/5, 0)*5)/5)*(LOOKUP(ROUNDUP(D$58/5, 0)*5,'2020ER'!$D$36:$D$51,'2020ER'!$G$36:$G$51)-LOOKUP(ROUNDDOWN(D$58/5, 0)*5,'2020ER'!$D$36:$D$51,'2020ER'!$G$36:$G$51))</f>
        <v>1.169152881511923E-2</v>
      </c>
      <c r="E110" s="176">
        <f>LOOKUP(ROUNDDOWN(E$58/5, 0)*5,'2020ER'!$D$36:$D$51,'2020ER'!$G$36:$G$51)+((E$58-ROUNDDOWN(E$58/5, 0)*5)/5)*(LOOKUP(ROUNDUP(E$58/5, 0)*5,'2020ER'!$D$36:$D$51,'2020ER'!$G$36:$G$51)-LOOKUP(ROUNDDOWN(E$58/5, 0)*5,'2020ER'!$D$36:$D$51,'2020ER'!$G$36:$G$51))</f>
        <v>1.6793202778196403E-2</v>
      </c>
      <c r="F110" s="176">
        <f>LOOKUP(ROUNDDOWN(F$58/5, 0)*5,'2020ER'!$D$36:$D$51,'2020ER'!$G$36:$G$51)+((F$58-ROUNDDOWN(F$58/5, 0)*5)/5)*(LOOKUP(ROUNDUP(F$58/5, 0)*5,'2020ER'!$D$36:$D$51,'2020ER'!$G$36:$G$51)-LOOKUP(ROUNDDOWN(F$58/5, 0)*5,'2020ER'!$D$36:$D$51,'2020ER'!$G$36:$G$51))</f>
        <v>1.0628081299299489E-2</v>
      </c>
      <c r="G110" s="176">
        <f>LOOKUP(ROUNDDOWN(G$58/5, 0)*5,'2020ER'!$D$36:$D$51,'2020ER'!$G$36:$G$51)+((G$58-ROUNDDOWN(G$58/5, 0)*5)/5)*(LOOKUP(ROUNDUP(G$58/5, 0)*5,'2020ER'!$D$36:$D$51,'2020ER'!$G$36:$G$51)-LOOKUP(ROUNDDOWN(G$58/5, 0)*5,'2020ER'!$D$36:$D$51,'2020ER'!$G$36:$G$51))</f>
        <v>1.5078051798228673E-2</v>
      </c>
      <c r="H110" s="909"/>
      <c r="I110" s="176">
        <f>LOOKUP(ROUNDDOWN(I$58/5, 0)*5,'2020ER'!$D$36:$D$51,'2020ER'!$G$36:$G$51)+((I$58-ROUNDDOWN(I$58/5, 0)*5)/5)*(LOOKUP(ROUNDUP(I$58/5, 0)*5,'2020ER'!$D$36:$D$51,'2020ER'!$G$36:$G$51)-LOOKUP(ROUNDDOWN(I$58/5, 0)*5,'2020ER'!$D$36:$D$51,'2020ER'!$G$36:$G$51))</f>
        <v>1.6793202778196403E-2</v>
      </c>
      <c r="J110" s="176">
        <f>LOOKUP(ROUNDDOWN(J$58/5, 0)*5,'2020ER'!$D$36:$D$51,'2020ER'!$G$36:$G$51)+((J$58-ROUNDDOWN(J$58/5, 0)*5)/5)*(LOOKUP(ROUNDUP(J$58/5, 0)*5,'2020ER'!$D$36:$D$51,'2020ER'!$G$36:$G$51)-LOOKUP(ROUNDDOWN(J$58/5, 0)*5,'2020ER'!$D$36:$D$51,'2020ER'!$G$36:$G$51))</f>
        <v>1.4019009487823862E-2</v>
      </c>
      <c r="K110" s="176">
        <f>LOOKUP(ROUNDDOWN(K$58/5, 0)*5,'2020ER'!$D$36:$D$51,'2020ER'!$G$36:$G$51)+((K$58-ROUNDDOWN(K$58/5, 0)*5)/5)*(LOOKUP(ROUNDUP(K$58/5, 0)*5,'2020ER'!$D$36:$D$51,'2020ER'!$G$36:$G$51)-LOOKUP(ROUNDDOWN(K$58/5, 0)*5,'2020ER'!$D$36:$D$51,'2020ER'!$G$36:$G$51))</f>
        <v>1.5078051798228673E-2</v>
      </c>
      <c r="L110" s="176">
        <f>LOOKUP(ROUNDDOWN(L$58/5, 0)*5,'2020ER'!$D$36:$D$51,'2020ER'!$G$36:$G$51)+((L$58-ROUNDDOWN(L$58/5, 0)*5)/5)*(LOOKUP(ROUNDUP(L$58/5, 0)*5,'2020ER'!$D$36:$D$51,'2020ER'!$G$36:$G$51)-LOOKUP(ROUNDDOWN(L$58/5, 0)*5,'2020ER'!$D$36:$D$51,'2020ER'!$G$36:$G$51))</f>
        <v>1.0628081299299489E-2</v>
      </c>
      <c r="M110" s="902"/>
      <c r="N110" s="301"/>
      <c r="O110" s="1123"/>
      <c r="P110" s="927"/>
    </row>
    <row r="111" spans="1:16" hidden="1" x14ac:dyDescent="0.25">
      <c r="A111" s="301"/>
      <c r="B111" s="302"/>
      <c r="C111" s="359" t="s">
        <v>426</v>
      </c>
      <c r="D111" s="176">
        <f>LOOKUP(ROUNDDOWN(D$58/5, 0)*5,'2020ER'!$D$52:$D$67,'2020ER'!$G$52:$G$67)+((D$58-ROUNDDOWN(D$58/5, 0)*5)/5)*(LOOKUP(ROUNDUP(D$58/5, 0)*5,'2020ER'!$D$52:$D$67,'2020ER'!$G$52:$G$67)-LOOKUP(ROUNDDOWN(D$58/5, 0)*5,'2020ER'!$D$52:$D$67,'2020ER'!$G$52:$G$67))</f>
        <v>0.22740061548137527</v>
      </c>
      <c r="E111" s="176">
        <f>LOOKUP(ROUNDDOWN(E$58/5, 0)*5,'2020ER'!$D$52:$D$67,'2020ER'!$G$52:$G$67)+((E$58-ROUNDDOWN(E$58/5, 0)*5)/5)*(LOOKUP(ROUNDUP(E$58/5, 0)*5,'2020ER'!$D$52:$D$67,'2020ER'!$G$52:$G$67)-LOOKUP(ROUNDDOWN(E$58/5, 0)*5,'2020ER'!$D$52:$D$67,'2020ER'!$G$52:$G$67))</f>
        <v>0.20159323750873465</v>
      </c>
      <c r="F111" s="176">
        <f>LOOKUP(ROUNDDOWN(F$58/5, 0)*5,'2020ER'!$D$52:$D$67,'2020ER'!$G$52:$G$67)+((F$58-ROUNDDOWN(F$58/5, 0)*5)/5)*(LOOKUP(ROUNDUP(F$58/5, 0)*5,'2020ER'!$D$52:$D$67,'2020ER'!$G$52:$G$67)-LOOKUP(ROUNDDOWN(F$58/5, 0)*5,'2020ER'!$D$52:$D$67,'2020ER'!$G$52:$G$67))</f>
        <v>0.2297635893578118</v>
      </c>
      <c r="G111" s="176">
        <f>LOOKUP(ROUNDDOWN(G$58/5, 0)*5,'2020ER'!$D$52:$D$67,'2020ER'!$G$52:$G$67)+((G$58-ROUNDDOWN(G$58/5, 0)*5)/5)*(LOOKUP(ROUNDUP(G$58/5, 0)*5,'2020ER'!$D$52:$D$67,'2020ER'!$G$52:$G$67)-LOOKUP(ROUNDDOWN(G$58/5, 0)*5,'2020ER'!$D$52:$D$67,'2020ER'!$G$52:$G$67))</f>
        <v>0.19822106251401356</v>
      </c>
      <c r="H111" s="909"/>
      <c r="I111" s="176">
        <f>LOOKUP(ROUNDDOWN(I$58/5, 0)*5,'2020ER'!$D$52:$D$67,'2020ER'!$G$52:$G$67)+((I$58-ROUNDDOWN(I$58/5, 0)*5)/5)*(LOOKUP(ROUNDUP(I$58/5, 0)*5,'2020ER'!$D$52:$D$67,'2020ER'!$G$52:$G$67)-LOOKUP(ROUNDDOWN(I$58/5, 0)*5,'2020ER'!$D$52:$D$67,'2020ER'!$G$52:$G$67))</f>
        <v>0.20159323750873465</v>
      </c>
      <c r="J111" s="176">
        <f>LOOKUP(ROUNDDOWN(J$58/5, 0)*5,'2020ER'!$D$52:$D$67,'2020ER'!$G$52:$G$67)+((J$58-ROUNDDOWN(J$58/5, 0)*5)/5)*(LOOKUP(ROUNDUP(J$58/5, 0)*5,'2020ER'!$D$52:$D$67,'2020ER'!$G$52:$G$67)-LOOKUP(ROUNDDOWN(J$58/5, 0)*5,'2020ER'!$D$52:$D$67,'2020ER'!$G$52:$G$67))</f>
        <v>0.2252508387855027</v>
      </c>
      <c r="K111" s="176">
        <f>LOOKUP(ROUNDDOWN(K$58/5, 0)*5,'2020ER'!$D$52:$D$67,'2020ER'!$G$52:$G$67)+((K$58-ROUNDDOWN(K$58/5, 0)*5)/5)*(LOOKUP(ROUNDUP(K$58/5, 0)*5,'2020ER'!$D$52:$D$67,'2020ER'!$G$52:$G$67)-LOOKUP(ROUNDDOWN(K$58/5, 0)*5,'2020ER'!$D$52:$D$67,'2020ER'!$G$52:$G$67))</f>
        <v>0.19822106251401356</v>
      </c>
      <c r="L111" s="176">
        <f>LOOKUP(ROUNDDOWN(L$58/5, 0)*5,'2020ER'!$D$52:$D$67,'2020ER'!$G$52:$G$67)+((L$58-ROUNDDOWN(L$58/5, 0)*5)/5)*(LOOKUP(ROUNDUP(L$58/5, 0)*5,'2020ER'!$D$52:$D$67,'2020ER'!$G$52:$G$67)-LOOKUP(ROUNDDOWN(L$58/5, 0)*5,'2020ER'!$D$52:$D$67,'2020ER'!$G$52:$G$67))</f>
        <v>0.2297635893578118</v>
      </c>
      <c r="M111" s="902"/>
      <c r="N111" s="301"/>
      <c r="O111" s="1123"/>
      <c r="P111" s="927"/>
    </row>
    <row r="112" spans="1:16" hidden="1" x14ac:dyDescent="0.25">
      <c r="A112" s="301"/>
      <c r="B112" s="302"/>
      <c r="C112" s="359" t="s">
        <v>424</v>
      </c>
      <c r="D112" s="176">
        <f>LOOKUP(ROUNDDOWN(D$58/5, 0)*5,'2020ER'!$D$68:$D$83,'2020ER'!$G$68:$G$83)+((D$58-ROUNDDOWN(D$58/5, 0)*5)/5)*(LOOKUP(ROUNDUP(D$58/5, 0)*5,'2020ER'!$D$68:$D$83,'2020ER'!$G$68:$G$83)-LOOKUP(ROUNDDOWN(D$58/5, 0)*5,'2020ER'!$D$68:$D$83,'2020ER'!$G$68:$G$83))</f>
        <v>6.7434320508356488E-2</v>
      </c>
      <c r="E112" s="176">
        <f>LOOKUP(ROUNDDOWN(E$58/5, 0)*5,'2020ER'!$D$68:$D$83,'2020ER'!$G$68:$G$83)+((E$58-ROUNDDOWN(E$58/5, 0)*5)/5)*(LOOKUP(ROUNDUP(E$58/5, 0)*5,'2020ER'!$D$68:$D$83,'2020ER'!$G$68:$G$83)-LOOKUP(ROUNDDOWN(E$58/5, 0)*5,'2020ER'!$D$68:$D$83,'2020ER'!$G$68:$G$83))</f>
        <v>0.1019874466909767</v>
      </c>
      <c r="F112" s="176">
        <f>LOOKUP(ROUNDDOWN(F$58/5, 0)*5,'2020ER'!$D$68:$D$83,'2020ER'!$G$68:$G$83)+((F$58-ROUNDDOWN(F$58/5, 0)*5)/5)*(LOOKUP(ROUNDUP(F$58/5, 0)*5,'2020ER'!$D$68:$D$83,'2020ER'!$G$68:$G$83)-LOOKUP(ROUNDDOWN(F$58/5, 0)*5,'2020ER'!$D$68:$D$83,'2020ER'!$G$68:$G$83))</f>
        <v>6.3956565960873582E-2</v>
      </c>
      <c r="G112" s="176">
        <f>LOOKUP(ROUNDDOWN(G$58/5, 0)*5,'2020ER'!$D$68:$D$83,'2020ER'!$G$68:$G$83)+((G$58-ROUNDDOWN(G$58/5, 0)*5)/5)*(LOOKUP(ROUNDUP(G$58/5, 0)*5,'2020ER'!$D$68:$D$83,'2020ER'!$G$68:$G$83)-LOOKUP(ROUNDDOWN(G$58/5, 0)*5,'2020ER'!$D$68:$D$83,'2020ER'!$G$68:$G$83))</f>
        <v>9.1739232139057492E-2</v>
      </c>
      <c r="H112" s="909"/>
      <c r="I112" s="176">
        <f>LOOKUP(ROUNDDOWN(I$58/5, 0)*5,'2020ER'!$D$68:$D$83,'2020ER'!$G$68:$G$83)+((I$58-ROUNDDOWN(I$58/5, 0)*5)/5)*(LOOKUP(ROUNDUP(I$58/5, 0)*5,'2020ER'!$D$68:$D$83,'2020ER'!$G$68:$G$83)-LOOKUP(ROUNDDOWN(I$58/5, 0)*5,'2020ER'!$D$68:$D$83,'2020ER'!$G$68:$G$83))</f>
        <v>0.1019874466909767</v>
      </c>
      <c r="J112" s="176">
        <f>LOOKUP(ROUNDDOWN(J$58/5, 0)*5,'2020ER'!$D$68:$D$83,'2020ER'!$G$68:$G$83)+((J$58-ROUNDDOWN(J$58/5, 0)*5)/5)*(LOOKUP(ROUNDUP(J$58/5, 0)*5,'2020ER'!$D$68:$D$83,'2020ER'!$G$68:$G$83)-LOOKUP(ROUNDDOWN(J$58/5, 0)*5,'2020ER'!$D$68:$D$83,'2020ER'!$G$68:$G$83))</f>
        <v>7.7175427606996916E-2</v>
      </c>
      <c r="K112" s="176">
        <f>LOOKUP(ROUNDDOWN(K$58/5, 0)*5,'2020ER'!$D$68:$D$83,'2020ER'!$G$68:$G$83)+((K$58-ROUNDDOWN(K$58/5, 0)*5)/5)*(LOOKUP(ROUNDUP(K$58/5, 0)*5,'2020ER'!$D$68:$D$83,'2020ER'!$G$68:$G$83)-LOOKUP(ROUNDDOWN(K$58/5, 0)*5,'2020ER'!$D$68:$D$83,'2020ER'!$G$68:$G$83))</f>
        <v>9.1739232139057492E-2</v>
      </c>
      <c r="L112" s="176">
        <f>LOOKUP(ROUNDDOWN(L$58/5, 0)*5,'2020ER'!$D$68:$D$83,'2020ER'!$G$68:$G$83)+((L$58-ROUNDDOWN(L$58/5, 0)*5)/5)*(LOOKUP(ROUNDUP(L$58/5, 0)*5,'2020ER'!$D$68:$D$83,'2020ER'!$G$68:$G$83)-LOOKUP(ROUNDDOWN(L$58/5, 0)*5,'2020ER'!$D$68:$D$83,'2020ER'!$G$68:$G$83))</f>
        <v>6.3956565960873582E-2</v>
      </c>
      <c r="M112" s="902"/>
      <c r="N112" s="301"/>
      <c r="O112" s="1123"/>
      <c r="P112" s="927"/>
    </row>
    <row r="113" spans="1:16" hidden="1" x14ac:dyDescent="0.25">
      <c r="A113" s="301"/>
      <c r="B113" s="302"/>
      <c r="C113" s="359" t="s">
        <v>451</v>
      </c>
      <c r="D113" s="176">
        <f>LOOKUP(ROUNDDOWN(D$58/5, 0)*5,'2020ER'!$D$4:$D$19,'2020ER'!$L$4:$L$19)+((D$58-ROUNDDOWN(D$58/5, 0)*5)/5)*(LOOKUP(ROUNDUP(D$58/5, 0)*5,'2020ER'!$D$4:$D$19,'2020ER'!$L$4:$L$19)-LOOKUP(ROUNDDOWN(D$58/5, 0)*5,'2020ER'!$D$4:$D$19,'2020ER'!$L$4:$L$19))</f>
        <v>1240.3001396290838</v>
      </c>
      <c r="E113" s="176">
        <f>LOOKUP(ROUNDDOWN(E$58/5, 0)*5,'2020ER'!$D$4:$D$19,'2020ER'!$L$4:$L$19)+((E$58-ROUNDDOWN(E$58/5, 0)*5)/5)*(LOOKUP(ROUNDUP(E$58/5, 0)*5,'2020ER'!$D$4:$D$19,'2020ER'!$L$4:$L$19)-LOOKUP(ROUNDDOWN(E$58/5, 0)*5,'2020ER'!$D$4:$D$19,'2020ER'!$L$4:$L$19))</f>
        <v>1745.6309965244609</v>
      </c>
      <c r="F113" s="176">
        <f>LOOKUP(ROUNDDOWN(F$58/5, 0)*5,'2020ER'!$D$4:$D$19,'2020ER'!$L$4:$L$19)+((F$58-ROUNDDOWN(F$58/5, 0)*5)/5)*(LOOKUP(ROUNDUP(F$58/5, 0)*5,'2020ER'!$D$4:$D$19,'2020ER'!$L$4:$L$19)-LOOKUP(ROUNDDOWN(F$58/5, 0)*5,'2020ER'!$D$4:$D$19,'2020ER'!$L$4:$L$19))</f>
        <v>1232.0465277490161</v>
      </c>
      <c r="G113" s="176">
        <f>LOOKUP(ROUNDDOWN(G$58/5, 0)*5,'2020ER'!$D$4:$D$19,'2020ER'!$L$4:$L$19)+((G$58-ROUNDDOWN(G$58/5, 0)*5)/5)*(LOOKUP(ROUNDUP(G$58/5, 0)*5,'2020ER'!$D$4:$D$19,'2020ER'!$L$4:$L$19)-LOOKUP(ROUNDDOWN(G$58/5, 0)*5,'2020ER'!$D$4:$D$19,'2020ER'!$L$4:$L$19))</f>
        <v>1659.4550333585396</v>
      </c>
      <c r="H113" s="909"/>
      <c r="I113" s="176">
        <f>LOOKUP(ROUNDDOWN(I$58/5, 0)*5,'2020ER'!$D$4:$D$19,'2020ER'!$L$4:$L$19)+((I$58-ROUNDDOWN(I$58/5, 0)*5)/5)*(LOOKUP(ROUNDUP(I$58/5, 0)*5,'2020ER'!$D$4:$D$19,'2020ER'!$L$4:$L$19)-LOOKUP(ROUNDDOWN(I$58/5, 0)*5,'2020ER'!$D$4:$D$19,'2020ER'!$L$4:$L$19))</f>
        <v>1745.6309965244609</v>
      </c>
      <c r="J113" s="176">
        <f>LOOKUP(ROUNDDOWN(J$58/5, 0)*5,'2020ER'!$D$4:$D$19,'2020ER'!$L$4:$L$19)+((J$58-ROUNDDOWN(J$58/5, 0)*5)/5)*(LOOKUP(ROUNDUP(J$58/5, 0)*5,'2020ER'!$D$4:$D$19,'2020ER'!$L$4:$L$19)-LOOKUP(ROUNDDOWN(J$58/5, 0)*5,'2020ER'!$D$4:$D$19,'2020ER'!$L$4:$L$19))</f>
        <v>1339.8401339494942</v>
      </c>
      <c r="K113" s="176">
        <f>LOOKUP(ROUNDDOWN(K$58/5, 0)*5,'2020ER'!$D$4:$D$19,'2020ER'!$L$4:$L$19)+((K$58-ROUNDDOWN(K$58/5, 0)*5)/5)*(LOOKUP(ROUNDUP(K$58/5, 0)*5,'2020ER'!$D$4:$D$19,'2020ER'!$L$4:$L$19)-LOOKUP(ROUNDDOWN(K$58/5, 0)*5,'2020ER'!$D$4:$D$19,'2020ER'!$L$4:$L$19))</f>
        <v>1659.4550333585396</v>
      </c>
      <c r="L113" s="176">
        <f>LOOKUP(ROUNDDOWN(L$58/5, 0)*5,'2020ER'!$D$4:$D$19,'2020ER'!$L$4:$L$19)+((L$58-ROUNDDOWN(L$58/5, 0)*5)/5)*(LOOKUP(ROUNDUP(L$58/5, 0)*5,'2020ER'!$D$4:$D$19,'2020ER'!$L$4:$L$19)-LOOKUP(ROUNDDOWN(L$58/5, 0)*5,'2020ER'!$D$4:$D$19,'2020ER'!$L$4:$L$19))</f>
        <v>1232.0465277490161</v>
      </c>
      <c r="M113" s="902"/>
      <c r="N113" s="301"/>
      <c r="O113" s="1123"/>
      <c r="P113" s="927"/>
    </row>
    <row r="114" spans="1:16" hidden="1" x14ac:dyDescent="0.25">
      <c r="A114" s="301"/>
      <c r="B114" s="302"/>
      <c r="C114" s="359" t="s">
        <v>452</v>
      </c>
      <c r="D114" s="176">
        <f>LOOKUP(ROUNDDOWN(D$58/5, 0)*5,'2020ER'!$D$20:$D$35,'2020ER'!$L$20:$L$35)+((D$58-ROUNDDOWN(D$58/5, 0)*5)/5)*(LOOKUP(ROUNDUP(D$58/5, 0)*5,'2020ER'!$D$20:$D$35,'2020ER'!$L$20:$L$35)-LOOKUP(ROUNDDOWN(D$58/5, 0)*5,'2020ER'!$D$20:$D$35,'2020ER'!$L$20:$L$35))</f>
        <v>3.0146433843794984</v>
      </c>
      <c r="E114" s="176">
        <f>LOOKUP(ROUNDDOWN(E$58/5, 0)*5,'2020ER'!$D$20:$D$35,'2020ER'!$L$20:$L$35)+((E$58-ROUNDDOWN(E$58/5, 0)*5)/5)*(LOOKUP(ROUNDUP(E$58/5, 0)*5,'2020ER'!$D$20:$D$35,'2020ER'!$L$20:$L$35)-LOOKUP(ROUNDDOWN(E$58/5, 0)*5,'2020ER'!$D$20:$D$35,'2020ER'!$L$20:$L$35))</f>
        <v>4.5137781446804306</v>
      </c>
      <c r="F114" s="176">
        <f>LOOKUP(ROUNDDOWN(F$58/5, 0)*5,'2020ER'!$D$20:$D$35,'2020ER'!$L$20:$L$35)+((F$58-ROUNDDOWN(F$58/5, 0)*5)/5)*(LOOKUP(ROUNDUP(F$58/5, 0)*5,'2020ER'!$D$20:$D$35,'2020ER'!$L$20:$L$35)-LOOKUP(ROUNDDOWN(F$58/5, 0)*5,'2020ER'!$D$20:$D$35,'2020ER'!$L$20:$L$35))</f>
        <v>2.9788685169853584</v>
      </c>
      <c r="G114" s="176">
        <f>LOOKUP(ROUNDDOWN(G$58/5, 0)*5,'2020ER'!$D$20:$D$35,'2020ER'!$L$20:$L$35)+((G$58-ROUNDDOWN(G$58/5, 0)*5)/5)*(LOOKUP(ROUNDUP(G$58/5, 0)*5,'2020ER'!$D$20:$D$35,'2020ER'!$L$20:$L$35)-LOOKUP(ROUNDDOWN(G$58/5, 0)*5,'2020ER'!$D$20:$D$35,'2020ER'!$L$20:$L$35))</f>
        <v>4.2233146956434391</v>
      </c>
      <c r="H114" s="909"/>
      <c r="I114" s="176">
        <f>LOOKUP(ROUNDDOWN(I$58/5, 0)*5,'2020ER'!$D$20:$D$35,'2020ER'!$L$20:$L$35)+((I$58-ROUNDDOWN(I$58/5, 0)*5)/5)*(LOOKUP(ROUNDUP(I$58/5, 0)*5,'2020ER'!$D$20:$D$35,'2020ER'!$L$20:$L$35)-LOOKUP(ROUNDDOWN(I$58/5, 0)*5,'2020ER'!$D$20:$D$35,'2020ER'!$L$20:$L$35))</f>
        <v>4.5137781446804306</v>
      </c>
      <c r="J114" s="176">
        <f>LOOKUP(ROUNDDOWN(J$58/5, 0)*5,'2020ER'!$D$20:$D$35,'2020ER'!$L$20:$L$35)+((J$58-ROUNDDOWN(J$58/5, 0)*5)/5)*(LOOKUP(ROUNDUP(J$58/5, 0)*5,'2020ER'!$D$20:$D$35,'2020ER'!$L$20:$L$35)-LOOKUP(ROUNDDOWN(J$58/5, 0)*5,'2020ER'!$D$20:$D$35,'2020ER'!$L$20:$L$35))</f>
        <v>3.3075828010381851</v>
      </c>
      <c r="K114" s="176">
        <f>LOOKUP(ROUNDDOWN(K$58/5, 0)*5,'2020ER'!$D$20:$D$35,'2020ER'!$L$20:$L$35)+((K$58-ROUNDDOWN(K$58/5, 0)*5)/5)*(LOOKUP(ROUNDUP(K$58/5, 0)*5,'2020ER'!$D$20:$D$35,'2020ER'!$L$20:$L$35)-LOOKUP(ROUNDDOWN(K$58/5, 0)*5,'2020ER'!$D$20:$D$35,'2020ER'!$L$20:$L$35))</f>
        <v>4.2233146956434391</v>
      </c>
      <c r="L114" s="176">
        <f>LOOKUP(ROUNDDOWN(L$58/5, 0)*5,'2020ER'!$D$20:$D$35,'2020ER'!$L$20:$L$35)+((L$58-ROUNDDOWN(L$58/5, 0)*5)/5)*(LOOKUP(ROUNDUP(L$58/5, 0)*5,'2020ER'!$D$20:$D$35,'2020ER'!$L$20:$L$35)-LOOKUP(ROUNDDOWN(L$58/5, 0)*5,'2020ER'!$D$20:$D$35,'2020ER'!$L$20:$L$35))</f>
        <v>2.9788685169853584</v>
      </c>
      <c r="M114" s="902"/>
      <c r="N114" s="301"/>
      <c r="O114" s="1123"/>
      <c r="P114" s="927"/>
    </row>
    <row r="115" spans="1:16" hidden="1" x14ac:dyDescent="0.25">
      <c r="A115" s="301"/>
      <c r="B115" s="302"/>
      <c r="C115" s="359" t="s">
        <v>453</v>
      </c>
      <c r="D115" s="176">
        <f>LOOKUP(ROUNDDOWN(D$58/5, 0)*5,'2020ER'!$D$36:$D$51,'2020ER'!$L$36:$L$51)+((D$58-ROUNDDOWN(D$58/5, 0)*5)/5)*(LOOKUP(ROUNDUP(D$58/5, 0)*5,'2020ER'!$D$36:$D$51,'2020ER'!$L$36:$L$51)-LOOKUP(ROUNDDOWN(D$58/5, 0)*5,'2020ER'!$D$36:$D$51,'2020ER'!$L$36:$L$51))</f>
        <v>0.12893945871708054</v>
      </c>
      <c r="E115" s="176">
        <f>LOOKUP(ROUNDDOWN(E$58/5, 0)*5,'2020ER'!$D$36:$D$51,'2020ER'!$L$36:$L$51)+((E$58-ROUNDDOWN(E$58/5, 0)*5)/5)*(LOOKUP(ROUNDUP(E$58/5, 0)*5,'2020ER'!$D$36:$D$51,'2020ER'!$L$36:$L$51)-LOOKUP(ROUNDDOWN(E$58/5, 0)*5,'2020ER'!$D$36:$D$51,'2020ER'!$L$36:$L$51))</f>
        <v>0.26325296915826724</v>
      </c>
      <c r="F115" s="176">
        <f>LOOKUP(ROUNDDOWN(F$58/5, 0)*5,'2020ER'!$D$36:$D$51,'2020ER'!$L$36:$L$51)+((F$58-ROUNDDOWN(F$58/5, 0)*5)/5)*(LOOKUP(ROUNDUP(F$58/5, 0)*5,'2020ER'!$D$36:$D$51,'2020ER'!$L$36:$L$51)-LOOKUP(ROUNDDOWN(F$58/5, 0)*5,'2020ER'!$D$36:$D$51,'2020ER'!$L$36:$L$51))</f>
        <v>0.11991777513622186</v>
      </c>
      <c r="G115" s="176">
        <f>LOOKUP(ROUNDDOWN(G$58/5, 0)*5,'2020ER'!$D$36:$D$51,'2020ER'!$L$36:$L$51)+((G$58-ROUNDDOWN(G$58/5, 0)*5)/5)*(LOOKUP(ROUNDUP(G$58/5, 0)*5,'2020ER'!$D$36:$D$51,'2020ER'!$L$36:$L$51)-LOOKUP(ROUNDDOWN(G$58/5, 0)*5,'2020ER'!$D$36:$D$51,'2020ER'!$L$36:$L$51))</f>
        <v>0.24212238616832588</v>
      </c>
      <c r="H115" s="909"/>
      <c r="I115" s="176">
        <f>LOOKUP(ROUNDDOWN(I$58/5, 0)*5,'2020ER'!$D$36:$D$51,'2020ER'!$L$36:$L$51)+((I$58-ROUNDDOWN(I$58/5, 0)*5)/5)*(LOOKUP(ROUNDUP(I$58/5, 0)*5,'2020ER'!$D$36:$D$51,'2020ER'!$L$36:$L$51)-LOOKUP(ROUNDDOWN(I$58/5, 0)*5,'2020ER'!$D$36:$D$51,'2020ER'!$L$36:$L$51))</f>
        <v>0.26325296915826724</v>
      </c>
      <c r="J115" s="176">
        <f>LOOKUP(ROUNDDOWN(J$58/5, 0)*5,'2020ER'!$D$36:$D$51,'2020ER'!$L$36:$L$51)+((J$58-ROUNDDOWN(J$58/5, 0)*5)/5)*(LOOKUP(ROUNDUP(J$58/5, 0)*5,'2020ER'!$D$36:$D$51,'2020ER'!$L$36:$L$51)-LOOKUP(ROUNDDOWN(J$58/5, 0)*5,'2020ER'!$D$36:$D$51,'2020ER'!$L$36:$L$51))</f>
        <v>0.16398965615468913</v>
      </c>
      <c r="K115" s="176">
        <f>LOOKUP(ROUNDDOWN(K$58/5, 0)*5,'2020ER'!$D$36:$D$51,'2020ER'!$L$36:$L$51)+((K$58-ROUNDDOWN(K$58/5, 0)*5)/5)*(LOOKUP(ROUNDUP(K$58/5, 0)*5,'2020ER'!$D$36:$D$51,'2020ER'!$L$36:$L$51)-LOOKUP(ROUNDDOWN(K$58/5, 0)*5,'2020ER'!$D$36:$D$51,'2020ER'!$L$36:$L$51))</f>
        <v>0.24212238616832588</v>
      </c>
      <c r="L115" s="176">
        <f>LOOKUP(ROUNDDOWN(L$58/5, 0)*5,'2020ER'!$D$36:$D$51,'2020ER'!$L$36:$L$51)+((L$58-ROUNDDOWN(L$58/5, 0)*5)/5)*(LOOKUP(ROUNDUP(L$58/5, 0)*5,'2020ER'!$D$36:$D$51,'2020ER'!$L$36:$L$51)-LOOKUP(ROUNDDOWN(L$58/5, 0)*5,'2020ER'!$D$36:$D$51,'2020ER'!$L$36:$L$51))</f>
        <v>0.11991777513622186</v>
      </c>
      <c r="M115" s="902"/>
      <c r="N115" s="301"/>
      <c r="O115" s="1123"/>
      <c r="P115" s="927"/>
    </row>
    <row r="116" spans="1:16" hidden="1" x14ac:dyDescent="0.25">
      <c r="A116" s="301"/>
      <c r="B116" s="302"/>
      <c r="C116" s="359" t="s">
        <v>454</v>
      </c>
      <c r="D116" s="176">
        <f>LOOKUP(ROUNDDOWN(D$58/5, 0)*5,'2020ER'!$D$52:$D$67,'2020ER'!$L$52:$L$67)+((D$58-ROUNDDOWN(D$58/5, 0)*5)/5)*(LOOKUP(ROUNDUP(D$58/5, 0)*5,'2020ER'!$D$52:$D$67,'2020ER'!$L$52:$L$67)-LOOKUP(ROUNDDOWN(D$58/5, 0)*5,'2020ER'!$D$52:$D$67,'2020ER'!$L$52:$L$67))</f>
        <v>2.7248071955744164</v>
      </c>
      <c r="E116" s="176">
        <f>LOOKUP(ROUNDDOWN(E$58/5, 0)*5,'2020ER'!$D$52:$D$67,'2020ER'!$L$52:$L$67)+((E$58-ROUNDDOWN(E$58/5, 0)*5)/5)*(LOOKUP(ROUNDUP(E$58/5, 0)*5,'2020ER'!$D$52:$D$67,'2020ER'!$L$52:$L$67)-LOOKUP(ROUNDDOWN(E$58/5, 0)*5,'2020ER'!$D$52:$D$67,'2020ER'!$L$52:$L$67))</f>
        <v>3.9574519187313912</v>
      </c>
      <c r="F116" s="176">
        <f>LOOKUP(ROUNDDOWN(F$58/5, 0)*5,'2020ER'!$D$52:$D$67,'2020ER'!$L$52:$L$67)+((F$58-ROUNDDOWN(F$58/5, 0)*5)/5)*(LOOKUP(ROUNDUP(F$58/5, 0)*5,'2020ER'!$D$52:$D$67,'2020ER'!$L$52:$L$67)-LOOKUP(ROUNDDOWN(F$58/5, 0)*5,'2020ER'!$D$52:$D$67,'2020ER'!$L$52:$L$67))</f>
        <v>2.6932192524379612</v>
      </c>
      <c r="G116" s="176">
        <f>LOOKUP(ROUNDDOWN(G$58/5, 0)*5,'2020ER'!$D$52:$D$67,'2020ER'!$L$52:$L$67)+((G$58-ROUNDDOWN(G$58/5, 0)*5)/5)*(LOOKUP(ROUNDUP(G$58/5, 0)*5,'2020ER'!$D$52:$D$67,'2020ER'!$L$52:$L$67)-LOOKUP(ROUNDDOWN(G$58/5, 0)*5,'2020ER'!$D$52:$D$67,'2020ER'!$L$52:$L$67))</f>
        <v>3.7121795943036928</v>
      </c>
      <c r="H116" s="909"/>
      <c r="I116" s="176">
        <f>LOOKUP(ROUNDDOWN(I$58/5, 0)*5,'2020ER'!$D$52:$D$67,'2020ER'!$L$52:$L$67)+((I$58-ROUNDDOWN(I$58/5, 0)*5)/5)*(LOOKUP(ROUNDUP(I$58/5, 0)*5,'2020ER'!$D$52:$D$67,'2020ER'!$L$52:$L$67)-LOOKUP(ROUNDDOWN(I$58/5, 0)*5,'2020ER'!$D$52:$D$67,'2020ER'!$L$52:$L$67))</f>
        <v>3.9574519187313912</v>
      </c>
      <c r="J116" s="176">
        <f>LOOKUP(ROUNDDOWN(J$58/5, 0)*5,'2020ER'!$D$52:$D$67,'2020ER'!$L$52:$L$67)+((J$58-ROUNDDOWN(J$58/5, 0)*5)/5)*(LOOKUP(ROUNDUP(J$58/5, 0)*5,'2020ER'!$D$52:$D$67,'2020ER'!$L$52:$L$67)-LOOKUP(ROUNDDOWN(J$58/5, 0)*5,'2020ER'!$D$52:$D$67,'2020ER'!$L$52:$L$67))</f>
        <v>2.9628056226169268</v>
      </c>
      <c r="K116" s="176">
        <f>LOOKUP(ROUNDDOWN(K$58/5, 0)*5,'2020ER'!$D$52:$D$67,'2020ER'!$L$52:$L$67)+((K$58-ROUNDDOWN(K$58/5, 0)*5)/5)*(LOOKUP(ROUNDUP(K$58/5, 0)*5,'2020ER'!$D$52:$D$67,'2020ER'!$L$52:$L$67)-LOOKUP(ROUNDDOWN(K$58/5, 0)*5,'2020ER'!$D$52:$D$67,'2020ER'!$L$52:$L$67))</f>
        <v>3.7121795943036928</v>
      </c>
      <c r="L116" s="176">
        <f>LOOKUP(ROUNDDOWN(L$58/5, 0)*5,'2020ER'!$D$52:$D$67,'2020ER'!$L$52:$L$67)+((L$58-ROUNDDOWN(L$58/5, 0)*5)/5)*(LOOKUP(ROUNDUP(L$58/5, 0)*5,'2020ER'!$D$52:$D$67,'2020ER'!$L$52:$L$67)-LOOKUP(ROUNDDOWN(L$58/5, 0)*5,'2020ER'!$D$52:$D$67,'2020ER'!$L$52:$L$67))</f>
        <v>2.6932192524379612</v>
      </c>
      <c r="M116" s="902"/>
      <c r="N116" s="301"/>
      <c r="O116" s="1123"/>
      <c r="P116" s="927"/>
    </row>
    <row r="117" spans="1:16" hidden="1" x14ac:dyDescent="0.25">
      <c r="A117" s="301"/>
      <c r="B117" s="302"/>
      <c r="C117" s="359" t="s">
        <v>455</v>
      </c>
      <c r="D117" s="176">
        <f>LOOKUP(ROUNDDOWN(D$58/5, 0)*5,'2020ER'!$D$68:$D$83,'2020ER'!$L$68:$L$83)+((D$58-ROUNDDOWN(D$58/5, 0)*5)/5)*(LOOKUP(ROUNDUP(D$58/5, 0)*5,'2020ER'!$D$68:$D$83,'2020ER'!$L$68:$L$83)-LOOKUP(ROUNDDOWN(D$58/5, 0)*5,'2020ER'!$D$68:$D$83,'2020ER'!$L$68:$L$83))</f>
        <v>0.2122060791629623</v>
      </c>
      <c r="E117" s="176">
        <f>LOOKUP(ROUNDDOWN(E$58/5, 0)*5,'2020ER'!$D$68:$D$83,'2020ER'!$L$68:$L$83)+((E$58-ROUNDDOWN(E$58/5, 0)*5)/5)*(LOOKUP(ROUNDUP(E$58/5, 0)*5,'2020ER'!$D$68:$D$83,'2020ER'!$L$68:$L$83)-LOOKUP(ROUNDDOWN(E$58/5, 0)*5,'2020ER'!$D$68:$D$83,'2020ER'!$L$68:$L$83))</f>
        <v>0.39287398863347761</v>
      </c>
      <c r="F117" s="176">
        <f>LOOKUP(ROUNDDOWN(F$58/5, 0)*5,'2020ER'!$D$68:$D$83,'2020ER'!$L$68:$L$83)+((F$58-ROUNDDOWN(F$58/5, 0)*5)/5)*(LOOKUP(ROUNDUP(F$58/5, 0)*5,'2020ER'!$D$68:$D$83,'2020ER'!$L$68:$L$83)-LOOKUP(ROUNDDOWN(F$58/5, 0)*5,'2020ER'!$D$68:$D$83,'2020ER'!$L$68:$L$83))</f>
        <v>0.19818725280925883</v>
      </c>
      <c r="G117" s="176">
        <f>LOOKUP(ROUNDDOWN(G$58/5, 0)*5,'2020ER'!$D$68:$D$83,'2020ER'!$L$68:$L$83)+((G$58-ROUNDDOWN(G$58/5, 0)*5)/5)*(LOOKUP(ROUNDUP(G$58/5, 0)*5,'2020ER'!$D$68:$D$83,'2020ER'!$L$68:$L$83)-LOOKUP(ROUNDDOWN(G$58/5, 0)*5,'2020ER'!$D$68:$D$83,'2020ER'!$L$68:$L$83))</f>
        <v>0.34918513533420659</v>
      </c>
      <c r="H117" s="909"/>
      <c r="I117" s="176">
        <f>LOOKUP(ROUNDDOWN(I$58/5, 0)*5,'2020ER'!$D$68:$D$83,'2020ER'!$L$68:$L$83)+((I$58-ROUNDDOWN(I$58/5, 0)*5)/5)*(LOOKUP(ROUNDUP(I$58/5, 0)*5,'2020ER'!$D$68:$D$83,'2020ER'!$L$68:$L$83)-LOOKUP(ROUNDDOWN(I$58/5, 0)*5,'2020ER'!$D$68:$D$83,'2020ER'!$L$68:$L$83))</f>
        <v>0.39287398863347761</v>
      </c>
      <c r="J117" s="176">
        <f>LOOKUP(ROUNDDOWN(J$58/5, 0)*5,'2020ER'!$D$68:$D$83,'2020ER'!$L$68:$L$83)+((J$58-ROUNDDOWN(J$58/5, 0)*5)/5)*(LOOKUP(ROUNDUP(J$58/5, 0)*5,'2020ER'!$D$68:$D$83,'2020ER'!$L$68:$L$83)-LOOKUP(ROUNDDOWN(J$58/5, 0)*5,'2020ER'!$D$68:$D$83,'2020ER'!$L$68:$L$83))</f>
        <v>0.25399129989141966</v>
      </c>
      <c r="K117" s="176">
        <f>LOOKUP(ROUNDDOWN(K$58/5, 0)*5,'2020ER'!$D$68:$D$83,'2020ER'!$L$68:$L$83)+((K$58-ROUNDDOWN(K$58/5, 0)*5)/5)*(LOOKUP(ROUNDUP(K$58/5, 0)*5,'2020ER'!$D$68:$D$83,'2020ER'!$L$68:$L$83)-LOOKUP(ROUNDDOWN(K$58/5, 0)*5,'2020ER'!$D$68:$D$83,'2020ER'!$L$68:$L$83))</f>
        <v>0.34918513533420659</v>
      </c>
      <c r="L117" s="176">
        <f>LOOKUP(ROUNDDOWN(L$58/5, 0)*5,'2020ER'!$D$68:$D$83,'2020ER'!$L$68:$L$83)+((L$58-ROUNDDOWN(L$58/5, 0)*5)/5)*(LOOKUP(ROUNDUP(L$58/5, 0)*5,'2020ER'!$D$68:$D$83,'2020ER'!$L$68:$L$83)-LOOKUP(ROUNDDOWN(L$58/5, 0)*5,'2020ER'!$D$68:$D$83,'2020ER'!$L$68:$L$83))</f>
        <v>0.19818725280925883</v>
      </c>
      <c r="M117" s="902"/>
      <c r="N117" s="301"/>
      <c r="O117" s="1123"/>
      <c r="P117" s="927"/>
    </row>
    <row r="118" spans="1:16" hidden="1" x14ac:dyDescent="0.25">
      <c r="A118" s="301"/>
      <c r="B118" s="302"/>
      <c r="C118" s="359" t="s">
        <v>403</v>
      </c>
      <c r="D118" s="176">
        <f>LOOKUP(ROUNDDOWN(D$58/5, 0)*5,'2020ER'!$D$4:$D$19,'2020ER'!$Q$4:$Q$19)+((D$58-ROUNDDOWN(D$58/5, 0)*5)/5)*(LOOKUP(ROUNDUP(D$58/5, 0)*5,'2020ER'!$D$4:$D$19,'2020ER'!$Q$4:$Q$19)-LOOKUP(ROUNDDOWN(D$58/5, 0)*5,'2020ER'!$D$4:$D$19,'2020ER'!$Q$4:$Q$19))</f>
        <v>1413.2436910786673</v>
      </c>
      <c r="E118" s="176">
        <f>LOOKUP(ROUNDDOWN(E$58/5, 0)*5,'2020ER'!$D$4:$D$19,'2020ER'!$Q$4:$Q$19)+((E$58-ROUNDDOWN(E$58/5, 0)*5)/5)*(LOOKUP(ROUNDUP(E$58/5, 0)*5,'2020ER'!$D$4:$D$19,'2020ER'!$Q$4:$Q$19)-LOOKUP(ROUNDDOWN(E$58/5, 0)*5,'2020ER'!$D$4:$D$19,'2020ER'!$Q$4:$Q$19))</f>
        <v>1969.8312888642747</v>
      </c>
      <c r="F118" s="176">
        <f>LOOKUP(ROUNDDOWN(F$58/5, 0)*5,'2020ER'!$D$4:$D$19,'2020ER'!$Q$4:$Q$19)+((F$58-ROUNDDOWN(F$58/5, 0)*5)/5)*(LOOKUP(ROUNDUP(F$58/5, 0)*5,'2020ER'!$D$4:$D$19,'2020ER'!$Q$4:$Q$19)-LOOKUP(ROUNDDOWN(F$58/5, 0)*5,'2020ER'!$D$4:$D$19,'2020ER'!$Q$4:$Q$19))</f>
        <v>1389.6465724541024</v>
      </c>
      <c r="G118" s="176">
        <f>LOOKUP(ROUNDDOWN(G$58/5, 0)*5,'2020ER'!$D$4:$D$19,'2020ER'!$Q$4:$Q$19)+((G$58-ROUNDDOWN(G$58/5, 0)*5)/5)*(LOOKUP(ROUNDUP(G$58/5, 0)*5,'2020ER'!$D$4:$D$19,'2020ER'!$Q$4:$Q$19)-LOOKUP(ROUNDDOWN(G$58/5, 0)*5,'2020ER'!$D$4:$D$19,'2020ER'!$Q$4:$Q$19))</f>
        <v>1895.8510169455462</v>
      </c>
      <c r="H118" s="909"/>
      <c r="I118" s="176">
        <f>LOOKUP(ROUNDDOWN(I$58/5, 0)*5,'2020ER'!$D$4:$D$19,'2020ER'!$Q$4:$Q$19)+((I$58-ROUNDDOWN(I$58/5, 0)*5)/5)*(LOOKUP(ROUNDUP(I$58/5, 0)*5,'2020ER'!$D$4:$D$19,'2020ER'!$Q$4:$Q$19)-LOOKUP(ROUNDDOWN(I$58/5, 0)*5,'2020ER'!$D$4:$D$19,'2020ER'!$Q$4:$Q$19))</f>
        <v>1969.8312888642747</v>
      </c>
      <c r="J118" s="176">
        <f>LOOKUP(ROUNDDOWN(J$58/5, 0)*5,'2020ER'!$D$4:$D$19,'2020ER'!$Q$4:$Q$19)+((J$58-ROUNDDOWN(J$58/5, 0)*5)/5)*(LOOKUP(ROUNDUP(J$58/5, 0)*5,'2020ER'!$D$4:$D$19,'2020ER'!$Q$4:$Q$19)-LOOKUP(ROUNDDOWN(J$58/5, 0)*5,'2020ER'!$D$4:$D$19,'2020ER'!$Q$4:$Q$19))</f>
        <v>1567.1385608618718</v>
      </c>
      <c r="K118" s="176">
        <f>LOOKUP(ROUNDDOWN(K$58/5, 0)*5,'2020ER'!$D$4:$D$19,'2020ER'!$Q$4:$Q$19)+((K$58-ROUNDDOWN(K$58/5, 0)*5)/5)*(LOOKUP(ROUNDUP(K$58/5, 0)*5,'2020ER'!$D$4:$D$19,'2020ER'!$Q$4:$Q$19)-LOOKUP(ROUNDDOWN(K$58/5, 0)*5,'2020ER'!$D$4:$D$19,'2020ER'!$Q$4:$Q$19))</f>
        <v>1895.8510169455462</v>
      </c>
      <c r="L118" s="176">
        <f>LOOKUP(ROUNDDOWN(L$58/5, 0)*5,'2020ER'!$D$4:$D$19,'2020ER'!$Q$4:$Q$19)+((L$58-ROUNDDOWN(L$58/5, 0)*5)/5)*(LOOKUP(ROUNDUP(L$58/5, 0)*5,'2020ER'!$D$4:$D$19,'2020ER'!$Q$4:$Q$19)-LOOKUP(ROUNDDOWN(L$58/5, 0)*5,'2020ER'!$D$4:$D$19,'2020ER'!$Q$4:$Q$19))</f>
        <v>1389.6465724541024</v>
      </c>
      <c r="M118" s="902"/>
      <c r="N118" s="301"/>
      <c r="O118" s="1123"/>
      <c r="P118" s="927"/>
    </row>
    <row r="119" spans="1:16" hidden="1" x14ac:dyDescent="0.25">
      <c r="A119" s="301"/>
      <c r="B119" s="302"/>
      <c r="C119" s="359" t="s">
        <v>405</v>
      </c>
      <c r="D119" s="176">
        <f>LOOKUP(ROUNDDOWN(D$58/5, 0)*5,'2020ER'!$D$20:$D$35,'2020ER'!$Q$20:$Q$35)+((D$58-ROUNDDOWN(D$58/5, 0)*5)/5)*(LOOKUP(ROUNDUP(D$58/5, 0)*5,'2020ER'!$D$20:$D$35,'2020ER'!$Q$20:$Q$35)-LOOKUP(ROUNDDOWN(D$58/5, 0)*5,'2020ER'!$D$20:$D$35,'2020ER'!$Q$20:$Q$35))</f>
        <v>2.2162308807623505</v>
      </c>
      <c r="E119" s="176">
        <f>LOOKUP(ROUNDDOWN(E$58/5, 0)*5,'2020ER'!$D$20:$D$35,'2020ER'!$Q$20:$Q$35)+((E$58-ROUNDDOWN(E$58/5, 0)*5)/5)*(LOOKUP(ROUNDUP(E$58/5, 0)*5,'2020ER'!$D$20:$D$35,'2020ER'!$Q$20:$Q$35)-LOOKUP(ROUNDDOWN(E$58/5, 0)*5,'2020ER'!$D$20:$D$35,'2020ER'!$Q$20:$Q$35))</f>
        <v>3.0032118372015617</v>
      </c>
      <c r="F119" s="176">
        <f>LOOKUP(ROUNDDOWN(F$58/5, 0)*5,'2020ER'!$D$20:$D$35,'2020ER'!$Q$20:$Q$35)+((F$58-ROUNDDOWN(F$58/5, 0)*5)/5)*(LOOKUP(ROUNDUP(F$58/5, 0)*5,'2020ER'!$D$20:$D$35,'2020ER'!$Q$20:$Q$35)-LOOKUP(ROUNDDOWN(F$58/5, 0)*5,'2020ER'!$D$20:$D$35,'2020ER'!$Q$20:$Q$35))</f>
        <v>2.1691009952574154</v>
      </c>
      <c r="G119" s="176">
        <f>LOOKUP(ROUNDDOWN(G$58/5, 0)*5,'2020ER'!$D$20:$D$35,'2020ER'!$Q$20:$Q$35)+((G$58-ROUNDDOWN(G$58/5, 0)*5)/5)*(LOOKUP(ROUNDUP(G$58/5, 0)*5,'2020ER'!$D$20:$D$35,'2020ER'!$Q$20:$Q$35)-LOOKUP(ROUNDDOWN(G$58/5, 0)*5,'2020ER'!$D$20:$D$35,'2020ER'!$Q$20:$Q$35))</f>
        <v>2.850653145744019</v>
      </c>
      <c r="H119" s="909"/>
      <c r="I119" s="176">
        <f>LOOKUP(ROUNDDOWN(I$58/5, 0)*5,'2020ER'!$D$20:$D$35,'2020ER'!$Q$20:$Q$35)+((I$58-ROUNDDOWN(I$58/5, 0)*5)/5)*(LOOKUP(ROUNDUP(I$58/5, 0)*5,'2020ER'!$D$20:$D$35,'2020ER'!$Q$20:$Q$35)-LOOKUP(ROUNDDOWN(I$58/5, 0)*5,'2020ER'!$D$20:$D$35,'2020ER'!$Q$20:$Q$35))</f>
        <v>3.0032118372015617</v>
      </c>
      <c r="J119" s="176">
        <f>LOOKUP(ROUNDDOWN(J$58/5, 0)*5,'2020ER'!$D$20:$D$35,'2020ER'!$Q$20:$Q$35)+((J$58-ROUNDDOWN(J$58/5, 0)*5)/5)*(LOOKUP(ROUNDUP(J$58/5, 0)*5,'2020ER'!$D$20:$D$35,'2020ER'!$Q$20:$Q$35)-LOOKUP(ROUNDDOWN(J$58/5, 0)*5,'2020ER'!$D$20:$D$35,'2020ER'!$Q$20:$Q$35))</f>
        <v>2.3916457098016131</v>
      </c>
      <c r="K119" s="176">
        <f>LOOKUP(ROUNDDOWN(K$58/5, 0)*5,'2020ER'!$D$20:$D$35,'2020ER'!$Q$20:$Q$35)+((K$58-ROUNDDOWN(K$58/5, 0)*5)/5)*(LOOKUP(ROUNDUP(K$58/5, 0)*5,'2020ER'!$D$20:$D$35,'2020ER'!$Q$20:$Q$35)-LOOKUP(ROUNDDOWN(K$58/5, 0)*5,'2020ER'!$D$20:$D$35,'2020ER'!$Q$20:$Q$35))</f>
        <v>2.850653145744019</v>
      </c>
      <c r="L119" s="176">
        <f>LOOKUP(ROUNDDOWN(L$58/5, 0)*5,'2020ER'!$D$20:$D$35,'2020ER'!$Q$20:$Q$35)+((L$58-ROUNDDOWN(L$58/5, 0)*5)/5)*(LOOKUP(ROUNDUP(L$58/5, 0)*5,'2020ER'!$D$20:$D$35,'2020ER'!$Q$20:$Q$35)-LOOKUP(ROUNDDOWN(L$58/5, 0)*5,'2020ER'!$D$20:$D$35,'2020ER'!$Q$20:$Q$35))</f>
        <v>2.1691009952574154</v>
      </c>
      <c r="M119" s="902"/>
      <c r="N119" s="301"/>
      <c r="O119" s="1123"/>
      <c r="P119" s="927"/>
    </row>
    <row r="120" spans="1:16" hidden="1" x14ac:dyDescent="0.25">
      <c r="A120" s="301"/>
      <c r="B120" s="302"/>
      <c r="C120" s="359" t="s">
        <v>404</v>
      </c>
      <c r="D120" s="175">
        <f>LOOKUP(ROUNDDOWN(D$58/5, 0)*5,'2020ER'!$D$36:$D$51,'2020ER'!$Q$36:$Q$51)+((D$58-ROUNDDOWN(D$58/5, 0)*5)/5)*(LOOKUP(ROUNDUP(D$58/5, 0)*5,'2020ER'!$D$36:$D$51,'2020ER'!$Q$36:$Q$51)-LOOKUP(ROUNDDOWN(D$58/5, 0)*5,'2020ER'!$D$36:$D$51,'2020ER'!$Q$36:$Q$51))</f>
        <v>6.7568393288487918E-2</v>
      </c>
      <c r="E120" s="175">
        <f>LOOKUP(ROUNDDOWN(E$58/5, 0)*5,'2020ER'!$D$36:$D$51,'2020ER'!$Q$36:$Q$51)+((E$58-ROUNDDOWN(E$58/5, 0)*5)/5)*(LOOKUP(ROUNDUP(E$58/5, 0)*5,'2020ER'!$D$36:$D$51,'2020ER'!$Q$36:$Q$51)-LOOKUP(ROUNDDOWN(E$58/5, 0)*5,'2020ER'!$D$36:$D$51,'2020ER'!$Q$36:$Q$51))</f>
        <v>0.15437750261465988</v>
      </c>
      <c r="F120" s="175">
        <f>LOOKUP(ROUNDDOWN(F$58/5, 0)*5,'2020ER'!$D$36:$D$51,'2020ER'!$Q$36:$Q$51)+((F$58-ROUNDDOWN(F$58/5, 0)*5)/5)*(LOOKUP(ROUNDUP(F$58/5, 0)*5,'2020ER'!$D$36:$D$51,'2020ER'!$Q$36:$Q$51)-LOOKUP(ROUNDDOWN(F$58/5, 0)*5,'2020ER'!$D$36:$D$51,'2020ER'!$Q$36:$Q$51))</f>
        <v>6.1789303528369553E-2</v>
      </c>
      <c r="G120" s="175">
        <f>LOOKUP(ROUNDDOWN(G$58/5, 0)*5,'2020ER'!$D$36:$D$51,'2020ER'!$Q$36:$Q$51)+((G$58-ROUNDDOWN(G$58/5, 0)*5)/5)*(LOOKUP(ROUNDUP(G$58/5, 0)*5,'2020ER'!$D$36:$D$51,'2020ER'!$Q$36:$Q$51)-LOOKUP(ROUNDDOWN(G$58/5, 0)*5,'2020ER'!$D$36:$D$51,'2020ER'!$Q$36:$Q$51))</f>
        <v>0.14270105028872704</v>
      </c>
      <c r="H120" s="909"/>
      <c r="I120" s="175">
        <f>LOOKUP(ROUNDDOWN(I$58/5, 0)*5,'2020ER'!$D$36:$D$51,'2020ER'!$Q$36:$Q$51)+((I$58-ROUNDDOWN(I$58/5, 0)*5)/5)*(LOOKUP(ROUNDUP(I$58/5, 0)*5,'2020ER'!$D$36:$D$51,'2020ER'!$Q$36:$Q$51)-LOOKUP(ROUNDDOWN(I$58/5, 0)*5,'2020ER'!$D$36:$D$51,'2020ER'!$Q$36:$Q$51))</f>
        <v>0.15437750261465988</v>
      </c>
      <c r="J120" s="175">
        <f>LOOKUP(ROUNDDOWN(J$58/5, 0)*5,'2020ER'!$D$36:$D$51,'2020ER'!$Q$36:$Q$51)+((J$58-ROUNDDOWN(J$58/5, 0)*5)/5)*(LOOKUP(ROUNDUP(J$58/5, 0)*5,'2020ER'!$D$36:$D$51,'2020ER'!$Q$36:$Q$51)-LOOKUP(ROUNDDOWN(J$58/5, 0)*5,'2020ER'!$D$36:$D$51,'2020ER'!$Q$36:$Q$51))</f>
        <v>9.3464304639507612E-2</v>
      </c>
      <c r="K120" s="175">
        <f>LOOKUP(ROUNDDOWN(K$58/5, 0)*5,'2020ER'!$D$36:$D$51,'2020ER'!$Q$36:$Q$51)+((K$58-ROUNDDOWN(K$58/5, 0)*5)/5)*(LOOKUP(ROUNDUP(K$58/5, 0)*5,'2020ER'!$D$36:$D$51,'2020ER'!$Q$36:$Q$51)-LOOKUP(ROUNDDOWN(K$58/5, 0)*5,'2020ER'!$D$36:$D$51,'2020ER'!$Q$36:$Q$51))</f>
        <v>0.14270105028872704</v>
      </c>
      <c r="L120" s="175">
        <f>LOOKUP(ROUNDDOWN(L$58/5, 0)*5,'2020ER'!$D$36:$D$51,'2020ER'!$Q$36:$Q$51)+((L$58-ROUNDDOWN(L$58/5, 0)*5)/5)*(LOOKUP(ROUNDUP(L$58/5, 0)*5,'2020ER'!$D$36:$D$51,'2020ER'!$Q$36:$Q$51)-LOOKUP(ROUNDDOWN(L$58/5, 0)*5,'2020ER'!$D$36:$D$51,'2020ER'!$Q$36:$Q$51))</f>
        <v>6.1789303528369553E-2</v>
      </c>
      <c r="M120" s="901"/>
      <c r="N120" s="301"/>
      <c r="O120" s="1123"/>
      <c r="P120" s="927"/>
    </row>
    <row r="121" spans="1:16" hidden="1" x14ac:dyDescent="0.25">
      <c r="A121" s="301"/>
      <c r="B121" s="302"/>
      <c r="C121" s="359" t="s">
        <v>427</v>
      </c>
      <c r="D121" s="175">
        <f>LOOKUP(ROUNDDOWN(D$58/5, 0)*5,'2020ER'!$D$52:$D$67,'2020ER'!$Q$52:$Q$67)+((D$58-ROUNDDOWN(D$58/5, 0)*5)/5)*(LOOKUP(ROUNDUP(D$58/5, 0)*5,'2020ER'!$D$52:$D$67,'2020ER'!$Q$52:$Q$67)-LOOKUP(ROUNDDOWN(D$58/5, 0)*5,'2020ER'!$D$52:$D$67,'2020ER'!$Q$52:$Q$67))</f>
        <v>1.9663738648848406</v>
      </c>
      <c r="E121" s="175">
        <f>LOOKUP(ROUNDDOWN(E$58/5, 0)*5,'2020ER'!$D$52:$D$67,'2020ER'!$Q$52:$Q$67)+((E$58-ROUNDDOWN(E$58/5, 0)*5)/5)*(LOOKUP(ROUNDUP(E$58/5, 0)*5,'2020ER'!$D$52:$D$67,'2020ER'!$Q$52:$Q$67)-LOOKUP(ROUNDDOWN(E$58/5, 0)*5,'2020ER'!$D$52:$D$67,'2020ER'!$Q$52:$Q$67))</f>
        <v>2.6067599702384268</v>
      </c>
      <c r="F121" s="175">
        <f>LOOKUP(ROUNDDOWN(F$58/5, 0)*5,'2020ER'!$D$52:$D$67,'2020ER'!$Q$52:$Q$67)+((F$58-ROUNDDOWN(F$58/5, 0)*5)/5)*(LOOKUP(ROUNDUP(F$58/5, 0)*5,'2020ER'!$D$52:$D$67,'2020ER'!$Q$52:$Q$67)-LOOKUP(ROUNDDOWN(F$58/5, 0)*5,'2020ER'!$D$52:$D$67,'2020ER'!$Q$52:$Q$67))</f>
        <v>1.9251308467587258</v>
      </c>
      <c r="G121" s="175">
        <f>LOOKUP(ROUNDDOWN(G$58/5, 0)*5,'2020ER'!$D$52:$D$67,'2020ER'!$Q$52:$Q$67)+((G$58-ROUNDDOWN(G$58/5, 0)*5)/5)*(LOOKUP(ROUNDUP(G$58/5, 0)*5,'2020ER'!$D$52:$D$67,'2020ER'!$Q$52:$Q$67)-LOOKUP(ROUNDDOWN(G$58/5, 0)*5,'2020ER'!$D$52:$D$67,'2020ER'!$Q$52:$Q$67))</f>
        <v>2.4813680065336787</v>
      </c>
      <c r="H121" s="909"/>
      <c r="I121" s="175">
        <f>LOOKUP(ROUNDDOWN(I$58/5, 0)*5,'2020ER'!$D$52:$D$67,'2020ER'!$Q$52:$Q$67)+((I$58-ROUNDDOWN(I$58/5, 0)*5)/5)*(LOOKUP(ROUNDUP(I$58/5, 0)*5,'2020ER'!$D$52:$D$67,'2020ER'!$Q$52:$Q$67)-LOOKUP(ROUNDDOWN(I$58/5, 0)*5,'2020ER'!$D$52:$D$67,'2020ER'!$Q$52:$Q$67))</f>
        <v>2.6067599702384268</v>
      </c>
      <c r="J121" s="175">
        <f>LOOKUP(ROUNDDOWN(J$58/5, 0)*5,'2020ER'!$D$52:$D$67,'2020ER'!$Q$52:$Q$67)+((J$58-ROUNDDOWN(J$58/5, 0)*5)/5)*(LOOKUP(ROUNDUP(J$58/5, 0)*5,'2020ER'!$D$52:$D$67,'2020ER'!$Q$52:$Q$67)-LOOKUP(ROUNDDOWN(J$58/5, 0)*5,'2020ER'!$D$52:$D$67,'2020ER'!$Q$52:$Q$67))</f>
        <v>2.1119816408538745</v>
      </c>
      <c r="K121" s="175">
        <f>LOOKUP(ROUNDDOWN(K$58/5, 0)*5,'2020ER'!$D$52:$D$67,'2020ER'!$Q$52:$Q$67)+((K$58-ROUNDDOWN(K$58/5, 0)*5)/5)*(LOOKUP(ROUNDUP(K$58/5, 0)*5,'2020ER'!$D$52:$D$67,'2020ER'!$Q$52:$Q$67)-LOOKUP(ROUNDDOWN(K$58/5, 0)*5,'2020ER'!$D$52:$D$67,'2020ER'!$Q$52:$Q$67))</f>
        <v>2.4813680065336787</v>
      </c>
      <c r="L121" s="175">
        <f>LOOKUP(ROUNDDOWN(L$58/5, 0)*5,'2020ER'!$D$52:$D$67,'2020ER'!$Q$52:$Q$67)+((L$58-ROUNDDOWN(L$58/5, 0)*5)/5)*(LOOKUP(ROUNDUP(L$58/5, 0)*5,'2020ER'!$D$52:$D$67,'2020ER'!$Q$52:$Q$67)-LOOKUP(ROUNDDOWN(L$58/5, 0)*5,'2020ER'!$D$52:$D$67,'2020ER'!$Q$52:$Q$67))</f>
        <v>1.9251308467587258</v>
      </c>
      <c r="M121" s="901"/>
      <c r="N121" s="301"/>
      <c r="O121" s="1123"/>
      <c r="P121" s="927"/>
    </row>
    <row r="122" spans="1:16" hidden="1" x14ac:dyDescent="0.25">
      <c r="A122" s="301"/>
      <c r="B122" s="302"/>
      <c r="C122" s="359" t="s">
        <v>425</v>
      </c>
      <c r="D122" s="175">
        <f>LOOKUP(ROUNDDOWN(D$58/5, 0)*5,'2020ER'!$D$68:$D$83,'2020ER'!$Q$68:$Q$83)+((D$58-ROUNDDOWN(D$58/5, 0)*5)/5)*(LOOKUP(ROUNDUP(D$58/5, 0)*5,'2020ER'!$D$68:$D$83,'2020ER'!$Q$68:$Q$83)-LOOKUP(ROUNDDOWN(D$58/5, 0)*5,'2020ER'!$D$68:$D$83,'2020ER'!$Q$68:$Q$83))</f>
        <v>0.18918370545055271</v>
      </c>
      <c r="E122" s="175">
        <f>LOOKUP(ROUNDDOWN(E$58/5, 0)*5,'2020ER'!$D$68:$D$83,'2020ER'!$Q$68:$Q$83)+((E$58-ROUNDDOWN(E$58/5, 0)*5)/5)*(LOOKUP(ROUNDUP(E$58/5, 0)*5,'2020ER'!$D$68:$D$83,'2020ER'!$Q$68:$Q$83)-LOOKUP(ROUNDDOWN(E$58/5, 0)*5,'2020ER'!$D$68:$D$83,'2020ER'!$Q$68:$Q$83))</f>
        <v>0.38337109082450799</v>
      </c>
      <c r="F122" s="175">
        <f>LOOKUP(ROUNDDOWN(F$58/5, 0)*5,'2020ER'!$D$68:$D$83,'2020ER'!$Q$68:$Q$83)+((F$58-ROUNDDOWN(F$58/5, 0)*5)/5)*(LOOKUP(ROUNDUP(F$58/5, 0)*5,'2020ER'!$D$68:$D$83,'2020ER'!$Q$68:$Q$83)-LOOKUP(ROUNDDOWN(F$58/5, 0)*5,'2020ER'!$D$68:$D$83,'2020ER'!$Q$68:$Q$83))</f>
        <v>0.17275939345458424</v>
      </c>
      <c r="G122" s="175">
        <f>LOOKUP(ROUNDDOWN(G$58/5, 0)*5,'2020ER'!$D$68:$D$83,'2020ER'!$Q$68:$Q$83)+((G$58-ROUNDDOWN(G$58/5, 0)*5)/5)*(LOOKUP(ROUNDUP(G$58/5, 0)*5,'2020ER'!$D$68:$D$83,'2020ER'!$Q$68:$Q$83)-LOOKUP(ROUNDDOWN(G$58/5, 0)*5,'2020ER'!$D$68:$D$83,'2020ER'!$Q$68:$Q$83))</f>
        <v>0.34908983207573507</v>
      </c>
      <c r="H122" s="909"/>
      <c r="I122" s="175">
        <f>LOOKUP(ROUNDDOWN(I$58/5, 0)*5,'2020ER'!$D$68:$D$83,'2020ER'!$Q$68:$Q$83)+((I$58-ROUNDDOWN(I$58/5, 0)*5)/5)*(LOOKUP(ROUNDUP(I$58/5, 0)*5,'2020ER'!$D$68:$D$83,'2020ER'!$Q$68:$Q$83)-LOOKUP(ROUNDDOWN(I$58/5, 0)*5,'2020ER'!$D$68:$D$83,'2020ER'!$Q$68:$Q$83))</f>
        <v>0.38337109082450799</v>
      </c>
      <c r="J122" s="175">
        <f>LOOKUP(ROUNDDOWN(J$58/5, 0)*5,'2020ER'!$D$68:$D$83,'2020ER'!$Q$68:$Q$83)+((J$58-ROUNDDOWN(J$58/5, 0)*5)/5)*(LOOKUP(ROUNDUP(J$58/5, 0)*5,'2020ER'!$D$68:$D$83,'2020ER'!$Q$68:$Q$83)-LOOKUP(ROUNDDOWN(J$58/5, 0)*5,'2020ER'!$D$68:$D$83,'2020ER'!$Q$68:$Q$83))</f>
        <v>0.24302302617053045</v>
      </c>
      <c r="K122" s="175">
        <f>LOOKUP(ROUNDDOWN(K$58/5, 0)*5,'2020ER'!$D$68:$D$83,'2020ER'!$Q$68:$Q$83)+((K$58-ROUNDDOWN(K$58/5, 0)*5)/5)*(LOOKUP(ROUNDUP(K$58/5, 0)*5,'2020ER'!$D$68:$D$83,'2020ER'!$Q$68:$Q$83)-LOOKUP(ROUNDDOWN(K$58/5, 0)*5,'2020ER'!$D$68:$D$83,'2020ER'!$Q$68:$Q$83))</f>
        <v>0.34908983207573507</v>
      </c>
      <c r="L122" s="175">
        <f>LOOKUP(ROUNDDOWN(L$58/5, 0)*5,'2020ER'!$D$68:$D$83,'2020ER'!$Q$68:$Q$83)+((L$58-ROUNDDOWN(L$58/5, 0)*5)/5)*(LOOKUP(ROUNDUP(L$58/5, 0)*5,'2020ER'!$D$68:$D$83,'2020ER'!$Q$68:$Q$83)-LOOKUP(ROUNDDOWN(L$58/5, 0)*5,'2020ER'!$D$68:$D$83,'2020ER'!$Q$68:$Q$83))</f>
        <v>0.17275939345458424</v>
      </c>
      <c r="M122" s="901"/>
      <c r="N122" s="301"/>
      <c r="O122" s="1123"/>
      <c r="P122" s="927"/>
    </row>
    <row r="123" spans="1:16" x14ac:dyDescent="0.25">
      <c r="A123" s="301"/>
      <c r="B123" s="302"/>
      <c r="C123" s="591" t="str">
        <f>"Emission Factors - "&amp;$D$7&amp;" Before Project"</f>
        <v>Emission Factors - 2017 Before Project</v>
      </c>
      <c r="D123" s="392"/>
      <c r="E123" s="392"/>
      <c r="F123" s="392"/>
      <c r="G123" s="392"/>
      <c r="H123" s="897"/>
      <c r="I123" s="392"/>
      <c r="J123" s="392"/>
      <c r="K123" s="392"/>
      <c r="L123" s="392"/>
      <c r="M123" s="392"/>
      <c r="N123" s="301"/>
      <c r="O123" s="1123"/>
      <c r="P123" s="927"/>
    </row>
    <row r="124" spans="1:16" x14ac:dyDescent="0.25">
      <c r="A124" s="301"/>
      <c r="B124" s="302"/>
      <c r="C124" s="359" t="s">
        <v>348</v>
      </c>
      <c r="D124" s="176">
        <f>D60+($D$7-2010)*(D92-D60)/(2020-2010)</f>
        <v>334.96403060492759</v>
      </c>
      <c r="E124" s="176">
        <f t="shared" ref="D124:G138" si="2">E60+($D$7-2010)*(E92-E60)/(2020-2010)</f>
        <v>510.24927451174437</v>
      </c>
      <c r="F124" s="176">
        <f t="shared" si="2"/>
        <v>330.6823266395071</v>
      </c>
      <c r="G124" s="176">
        <f t="shared" si="2"/>
        <v>330.6823266395071</v>
      </c>
      <c r="H124" s="909"/>
      <c r="I124" s="176">
        <f t="shared" ref="I124:L138" si="3">I60+($D$7-2010)*(I92-I60)/(2020-2010)</f>
        <v>510.24927451174437</v>
      </c>
      <c r="J124" s="176">
        <f t="shared" si="3"/>
        <v>355.28950770773423</v>
      </c>
      <c r="K124" s="176">
        <f t="shared" si="3"/>
        <v>330.6823266395071</v>
      </c>
      <c r="L124" s="176">
        <f t="shared" si="3"/>
        <v>330.6823266395071</v>
      </c>
      <c r="M124" s="902"/>
      <c r="N124" s="301"/>
      <c r="O124" s="1123"/>
      <c r="P124" s="927"/>
    </row>
    <row r="125" spans="1:16" x14ac:dyDescent="0.25">
      <c r="A125" s="301"/>
      <c r="B125" s="302"/>
      <c r="C125" s="359" t="s">
        <v>351</v>
      </c>
      <c r="D125" s="176">
        <f t="shared" si="2"/>
        <v>0.36979850498781214</v>
      </c>
      <c r="E125" s="176">
        <f t="shared" si="2"/>
        <v>0.38170088808107133</v>
      </c>
      <c r="F125" s="176">
        <f t="shared" si="2"/>
        <v>0.37430085090060217</v>
      </c>
      <c r="G125" s="176">
        <f t="shared" si="2"/>
        <v>0.37430085090060217</v>
      </c>
      <c r="H125" s="909"/>
      <c r="I125" s="176">
        <f t="shared" si="3"/>
        <v>0.38170088808107133</v>
      </c>
      <c r="J125" s="176">
        <f t="shared" si="3"/>
        <v>0.36667735086007336</v>
      </c>
      <c r="K125" s="176">
        <f t="shared" si="3"/>
        <v>0.37430085090060217</v>
      </c>
      <c r="L125" s="176">
        <f t="shared" si="3"/>
        <v>0.37430085090060217</v>
      </c>
      <c r="M125" s="902"/>
      <c r="N125" s="301"/>
      <c r="O125" s="1123"/>
      <c r="P125" s="927"/>
    </row>
    <row r="126" spans="1:16" x14ac:dyDescent="0.25">
      <c r="A126" s="301"/>
      <c r="B126" s="302"/>
      <c r="C126" s="359" t="s">
        <v>377</v>
      </c>
      <c r="D126" s="176">
        <f t="shared" si="2"/>
        <v>1.3694303872453212E-2</v>
      </c>
      <c r="E126" s="176">
        <f t="shared" si="2"/>
        <v>2.5373774310868964E-2</v>
      </c>
      <c r="F126" s="176">
        <f t="shared" si="2"/>
        <v>1.2527374075353124E-2</v>
      </c>
      <c r="G126" s="176">
        <f t="shared" si="2"/>
        <v>1.2527374075353124E-2</v>
      </c>
      <c r="H126" s="909"/>
      <c r="I126" s="176">
        <f t="shared" si="3"/>
        <v>2.5373774310868964E-2</v>
      </c>
      <c r="J126" s="176">
        <f t="shared" si="3"/>
        <v>1.6222853824603936E-2</v>
      </c>
      <c r="K126" s="176">
        <f t="shared" si="3"/>
        <v>1.2527374075353124E-2</v>
      </c>
      <c r="L126" s="176">
        <f t="shared" si="3"/>
        <v>1.2527374075353124E-2</v>
      </c>
      <c r="M126" s="902"/>
      <c r="N126" s="301"/>
      <c r="O126" s="1123"/>
      <c r="P126" s="927"/>
    </row>
    <row r="127" spans="1:16" x14ac:dyDescent="0.25">
      <c r="A127" s="301"/>
      <c r="B127" s="302"/>
      <c r="C127" s="359" t="s">
        <v>426</v>
      </c>
      <c r="D127" s="176">
        <f t="shared" si="2"/>
        <v>0.35752162685378924</v>
      </c>
      <c r="E127" s="176">
        <f t="shared" si="2"/>
        <v>0.41786460777939832</v>
      </c>
      <c r="F127" s="176">
        <f t="shared" si="2"/>
        <v>0.36017317664940246</v>
      </c>
      <c r="G127" s="176">
        <f t="shared" si="2"/>
        <v>0.36017317664940246</v>
      </c>
      <c r="H127" s="909"/>
      <c r="I127" s="176">
        <f t="shared" si="3"/>
        <v>0.41786460777939832</v>
      </c>
      <c r="J127" s="176">
        <f t="shared" si="3"/>
        <v>0.35686454124676181</v>
      </c>
      <c r="K127" s="176">
        <f t="shared" si="3"/>
        <v>0.36017317664940246</v>
      </c>
      <c r="L127" s="176">
        <f t="shared" si="3"/>
        <v>0.36017317664940246</v>
      </c>
      <c r="M127" s="902"/>
      <c r="N127" s="301"/>
      <c r="O127" s="1123"/>
      <c r="P127" s="927"/>
    </row>
    <row r="128" spans="1:16" x14ac:dyDescent="0.25">
      <c r="A128" s="301"/>
      <c r="B128" s="302"/>
      <c r="C128" s="359" t="s">
        <v>424</v>
      </c>
      <c r="D128" s="176">
        <f t="shared" si="2"/>
        <v>0.10633723042713814</v>
      </c>
      <c r="E128" s="176">
        <f t="shared" si="2"/>
        <v>0.22598083085139642</v>
      </c>
      <c r="F128" s="176">
        <f t="shared" si="2"/>
        <v>0.10078781576141224</v>
      </c>
      <c r="G128" s="176">
        <f t="shared" si="2"/>
        <v>0.10078781576141224</v>
      </c>
      <c r="H128" s="909"/>
      <c r="I128" s="176">
        <f t="shared" si="3"/>
        <v>0.22598083085139642</v>
      </c>
      <c r="J128" s="176">
        <f t="shared" si="3"/>
        <v>0.12291190967196691</v>
      </c>
      <c r="K128" s="176">
        <f t="shared" si="3"/>
        <v>0.10078781576141224</v>
      </c>
      <c r="L128" s="176">
        <f t="shared" si="3"/>
        <v>0.10078781576141224</v>
      </c>
      <c r="M128" s="902"/>
      <c r="N128" s="301"/>
      <c r="O128" s="1123"/>
      <c r="P128" s="927"/>
    </row>
    <row r="129" spans="1:16" x14ac:dyDescent="0.25">
      <c r="A129" s="301"/>
      <c r="B129" s="302"/>
      <c r="C129" s="359" t="s">
        <v>451</v>
      </c>
      <c r="D129" s="176">
        <f t="shared" si="2"/>
        <v>1235.4638384688028</v>
      </c>
      <c r="E129" s="176">
        <f t="shared" si="2"/>
        <v>2034.7627145829372</v>
      </c>
      <c r="F129" s="176">
        <f t="shared" si="2"/>
        <v>1227.272600981212</v>
      </c>
      <c r="G129" s="176">
        <f t="shared" si="2"/>
        <v>1227.272600981212</v>
      </c>
      <c r="H129" s="909"/>
      <c r="I129" s="176">
        <f t="shared" si="3"/>
        <v>2034.7627145829372</v>
      </c>
      <c r="J129" s="176">
        <f t="shared" si="3"/>
        <v>1335.8360742662071</v>
      </c>
      <c r="K129" s="176">
        <f t="shared" si="3"/>
        <v>1227.272600981212</v>
      </c>
      <c r="L129" s="176">
        <f t="shared" si="3"/>
        <v>1227.272600981212</v>
      </c>
      <c r="M129" s="902"/>
      <c r="N129" s="301"/>
      <c r="O129" s="1123"/>
      <c r="P129" s="927"/>
    </row>
    <row r="130" spans="1:16" x14ac:dyDescent="0.25">
      <c r="A130" s="301"/>
      <c r="B130" s="302"/>
      <c r="C130" s="359" t="s">
        <v>452</v>
      </c>
      <c r="D130" s="176">
        <f t="shared" si="2"/>
        <v>5.2423743485167575</v>
      </c>
      <c r="E130" s="176">
        <f t="shared" si="2"/>
        <v>9.1648604457291079</v>
      </c>
      <c r="F130" s="176">
        <f t="shared" si="2"/>
        <v>5.2356223778288538</v>
      </c>
      <c r="G130" s="176">
        <f t="shared" si="2"/>
        <v>5.2356223778288538</v>
      </c>
      <c r="H130" s="909"/>
      <c r="I130" s="176">
        <f t="shared" si="3"/>
        <v>9.1648604457291079</v>
      </c>
      <c r="J130" s="176">
        <f t="shared" si="3"/>
        <v>5.7147686895413967</v>
      </c>
      <c r="K130" s="176">
        <f t="shared" si="3"/>
        <v>5.2356223778288538</v>
      </c>
      <c r="L130" s="176">
        <f t="shared" si="3"/>
        <v>5.2356223778288538</v>
      </c>
      <c r="M130" s="902"/>
      <c r="N130" s="301"/>
      <c r="O130" s="1123"/>
      <c r="P130" s="927"/>
    </row>
    <row r="131" spans="1:16" x14ac:dyDescent="0.25">
      <c r="A131" s="301"/>
      <c r="B131" s="302"/>
      <c r="C131" s="359" t="s">
        <v>453</v>
      </c>
      <c r="D131" s="176">
        <f t="shared" si="2"/>
        <v>0.24080065412109397</v>
      </c>
      <c r="E131" s="176">
        <f t="shared" si="2"/>
        <v>0.54668768938564327</v>
      </c>
      <c r="F131" s="176">
        <f t="shared" si="2"/>
        <v>0.2252610013333487</v>
      </c>
      <c r="G131" s="176">
        <f t="shared" si="2"/>
        <v>0.2252610013333487</v>
      </c>
      <c r="H131" s="909"/>
      <c r="I131" s="176">
        <f t="shared" si="3"/>
        <v>0.54668768938564327</v>
      </c>
      <c r="J131" s="176">
        <f t="shared" si="3"/>
        <v>0.29909200775840478</v>
      </c>
      <c r="K131" s="176">
        <f t="shared" si="3"/>
        <v>0.2252610013333487</v>
      </c>
      <c r="L131" s="176">
        <f t="shared" si="3"/>
        <v>0.2252610013333487</v>
      </c>
      <c r="M131" s="902"/>
      <c r="N131" s="301"/>
      <c r="O131" s="1123"/>
      <c r="P131" s="927"/>
    </row>
    <row r="132" spans="1:16" x14ac:dyDescent="0.25">
      <c r="A132" s="301"/>
      <c r="B132" s="302"/>
      <c r="C132" s="359" t="s">
        <v>454</v>
      </c>
      <c r="D132" s="176">
        <f t="shared" si="2"/>
        <v>4.751435601092699</v>
      </c>
      <c r="E132" s="176">
        <f t="shared" si="2"/>
        <v>8.0000027968883636</v>
      </c>
      <c r="F132" s="176">
        <f t="shared" si="2"/>
        <v>4.7449925622753852</v>
      </c>
      <c r="G132" s="176">
        <f t="shared" si="2"/>
        <v>4.7449925622753852</v>
      </c>
      <c r="H132" s="909"/>
      <c r="I132" s="176">
        <f t="shared" si="3"/>
        <v>8.0000027968883636</v>
      </c>
      <c r="J132" s="176">
        <f t="shared" si="3"/>
        <v>5.1244295397085811</v>
      </c>
      <c r="K132" s="176">
        <f t="shared" si="3"/>
        <v>4.7449925622753852</v>
      </c>
      <c r="L132" s="176">
        <f t="shared" si="3"/>
        <v>4.7449925622753852</v>
      </c>
      <c r="M132" s="902"/>
      <c r="N132" s="301"/>
      <c r="O132" s="1123"/>
      <c r="P132" s="927"/>
    </row>
    <row r="133" spans="1:16" x14ac:dyDescent="0.25">
      <c r="A133" s="301"/>
      <c r="B133" s="302"/>
      <c r="C133" s="359" t="s">
        <v>455</v>
      </c>
      <c r="D133" s="176">
        <f t="shared" si="2"/>
        <v>0.34562252563794549</v>
      </c>
      <c r="E133" s="176">
        <f t="shared" si="2"/>
        <v>0.81392317622473986</v>
      </c>
      <c r="F133" s="176">
        <f t="shared" si="2"/>
        <v>0.32402671731649341</v>
      </c>
      <c r="G133" s="176">
        <f t="shared" si="2"/>
        <v>0.32402671731649341</v>
      </c>
      <c r="H133" s="909"/>
      <c r="I133" s="176">
        <f t="shared" si="3"/>
        <v>0.81392317622473986</v>
      </c>
      <c r="J133" s="176">
        <f t="shared" si="3"/>
        <v>0.40478410379835916</v>
      </c>
      <c r="K133" s="176">
        <f t="shared" si="3"/>
        <v>0.32402671731649341</v>
      </c>
      <c r="L133" s="176">
        <f t="shared" si="3"/>
        <v>0.32402671731649341</v>
      </c>
      <c r="M133" s="902"/>
      <c r="N133" s="301"/>
      <c r="O133" s="1123"/>
      <c r="P133" s="927"/>
    </row>
    <row r="134" spans="1:16" x14ac:dyDescent="0.25">
      <c r="A134" s="301"/>
      <c r="B134" s="302"/>
      <c r="C134" s="359" t="s">
        <v>403</v>
      </c>
      <c r="D134" s="176">
        <f t="shared" si="2"/>
        <v>1409.36702124773</v>
      </c>
      <c r="E134" s="176">
        <f t="shared" si="2"/>
        <v>2237.2194353763934</v>
      </c>
      <c r="F134" s="176">
        <f t="shared" si="2"/>
        <v>1385.9336504531952</v>
      </c>
      <c r="G134" s="176">
        <f t="shared" si="2"/>
        <v>1385.9336504531952</v>
      </c>
      <c r="H134" s="909"/>
      <c r="I134" s="176">
        <f t="shared" si="3"/>
        <v>2237.2194353763934</v>
      </c>
      <c r="J134" s="176">
        <f t="shared" si="3"/>
        <v>1564.5420170626348</v>
      </c>
      <c r="K134" s="176">
        <f t="shared" si="3"/>
        <v>1385.9336504531952</v>
      </c>
      <c r="L134" s="176">
        <f t="shared" si="3"/>
        <v>1385.9336504531952</v>
      </c>
      <c r="M134" s="902"/>
      <c r="N134" s="301"/>
      <c r="O134" s="1123"/>
      <c r="P134" s="927"/>
    </row>
    <row r="135" spans="1:16" x14ac:dyDescent="0.25">
      <c r="A135" s="301"/>
      <c r="B135" s="302"/>
      <c r="C135" s="359" t="s">
        <v>405</v>
      </c>
      <c r="D135" s="176">
        <f t="shared" si="2"/>
        <v>3.7780475720101361</v>
      </c>
      <c r="E135" s="176">
        <f t="shared" si="2"/>
        <v>6.0686891990089737</v>
      </c>
      <c r="F135" s="176">
        <f t="shared" si="2"/>
        <v>3.7154029895248017</v>
      </c>
      <c r="G135" s="176">
        <f t="shared" si="2"/>
        <v>3.7154029895248017</v>
      </c>
      <c r="H135" s="909"/>
      <c r="I135" s="176">
        <f t="shared" si="3"/>
        <v>6.0686891990089737</v>
      </c>
      <c r="J135" s="176">
        <f t="shared" si="3"/>
        <v>4.1052735117811148</v>
      </c>
      <c r="K135" s="176">
        <f t="shared" si="3"/>
        <v>3.7154029895248017</v>
      </c>
      <c r="L135" s="176">
        <f t="shared" si="3"/>
        <v>3.7154029895248017</v>
      </c>
      <c r="M135" s="902"/>
      <c r="N135" s="301"/>
      <c r="O135" s="1123"/>
      <c r="P135" s="927"/>
    </row>
    <row r="136" spans="1:16" x14ac:dyDescent="0.25">
      <c r="A136" s="301"/>
      <c r="B136" s="302"/>
      <c r="C136" s="359" t="s">
        <v>404</v>
      </c>
      <c r="D136" s="176">
        <f t="shared" si="2"/>
        <v>0.14019239573834533</v>
      </c>
      <c r="E136" s="176">
        <f t="shared" si="2"/>
        <v>0.34922343932650723</v>
      </c>
      <c r="F136" s="176">
        <f t="shared" si="2"/>
        <v>0.12951245057911509</v>
      </c>
      <c r="G136" s="176">
        <f t="shared" si="2"/>
        <v>0.12951245057911509</v>
      </c>
      <c r="H136" s="909"/>
      <c r="I136" s="176">
        <f t="shared" si="3"/>
        <v>0.34922343932650723</v>
      </c>
      <c r="J136" s="176">
        <f t="shared" si="3"/>
        <v>0.18824922434792699</v>
      </c>
      <c r="K136" s="176">
        <f t="shared" si="3"/>
        <v>0.12951245057911509</v>
      </c>
      <c r="L136" s="176">
        <f t="shared" si="3"/>
        <v>0.12951245057911509</v>
      </c>
      <c r="M136" s="902"/>
      <c r="N136" s="301"/>
      <c r="O136" s="1123"/>
      <c r="P136" s="927"/>
    </row>
    <row r="137" spans="1:16" x14ac:dyDescent="0.25">
      <c r="A137" s="301"/>
      <c r="B137" s="302"/>
      <c r="C137" s="359" t="s">
        <v>427</v>
      </c>
      <c r="D137" s="176">
        <f t="shared" si="2"/>
        <v>3.3654346354101907</v>
      </c>
      <c r="E137" s="176">
        <f t="shared" si="2"/>
        <v>5.2505383625718958</v>
      </c>
      <c r="F137" s="176">
        <f t="shared" si="2"/>
        <v>3.3107787240423336</v>
      </c>
      <c r="G137" s="176">
        <f t="shared" si="2"/>
        <v>3.3107787240423336</v>
      </c>
      <c r="H137" s="909"/>
      <c r="I137" s="176">
        <f t="shared" si="3"/>
        <v>5.2505383625718958</v>
      </c>
      <c r="J137" s="176">
        <f t="shared" si="3"/>
        <v>3.6323186695090737</v>
      </c>
      <c r="K137" s="176">
        <f t="shared" si="3"/>
        <v>3.3107787240423336</v>
      </c>
      <c r="L137" s="176">
        <f t="shared" si="3"/>
        <v>3.3107787240423336</v>
      </c>
      <c r="M137" s="902"/>
      <c r="N137" s="301"/>
      <c r="O137" s="1123"/>
      <c r="P137" s="927"/>
    </row>
    <row r="138" spans="1:16" x14ac:dyDescent="0.25">
      <c r="A138" s="301"/>
      <c r="B138" s="302"/>
      <c r="C138" s="359" t="s">
        <v>425</v>
      </c>
      <c r="D138" s="176">
        <f t="shared" si="2"/>
        <v>0.27485884463310967</v>
      </c>
      <c r="E138" s="176">
        <f t="shared" si="2"/>
        <v>0.68698923997672856</v>
      </c>
      <c r="F138" s="176">
        <f t="shared" si="2"/>
        <v>0.25282466194288072</v>
      </c>
      <c r="G138" s="176">
        <f t="shared" si="2"/>
        <v>0.25282466194288072</v>
      </c>
      <c r="H138" s="909"/>
      <c r="I138" s="176">
        <f t="shared" si="3"/>
        <v>0.68698923997672856</v>
      </c>
      <c r="J138" s="176">
        <f t="shared" si="3"/>
        <v>0.34419290985486173</v>
      </c>
      <c r="K138" s="176">
        <f t="shared" si="3"/>
        <v>0.25282466194288072</v>
      </c>
      <c r="L138" s="176">
        <f t="shared" si="3"/>
        <v>0.25282466194288072</v>
      </c>
      <c r="M138" s="902"/>
      <c r="N138" s="301"/>
      <c r="O138" s="1123"/>
      <c r="P138" s="927"/>
    </row>
    <row r="139" spans="1:16" x14ac:dyDescent="0.25">
      <c r="A139" s="301"/>
      <c r="B139" s="302"/>
      <c r="C139" s="591" t="str">
        <f>"Emission Factors - "&amp;$D$7&amp;" After Project"</f>
        <v>Emission Factors - 2017 After Project</v>
      </c>
      <c r="D139" s="392"/>
      <c r="E139" s="392"/>
      <c r="F139" s="392"/>
      <c r="G139" s="392"/>
      <c r="H139" s="897"/>
      <c r="I139" s="392"/>
      <c r="J139" s="392"/>
      <c r="K139" s="392"/>
      <c r="L139" s="392"/>
      <c r="M139" s="392"/>
      <c r="N139" s="301"/>
      <c r="O139" s="1123"/>
      <c r="P139" s="927"/>
    </row>
    <row r="140" spans="1:16" x14ac:dyDescent="0.25">
      <c r="A140" s="301"/>
      <c r="B140" s="302"/>
      <c r="C140" s="359" t="s">
        <v>348</v>
      </c>
      <c r="D140" s="176">
        <f>D76+($D$7-2010)*(D108-D76)/(2020-2010)</f>
        <v>334.96403060492759</v>
      </c>
      <c r="E140" s="176">
        <f t="shared" ref="D140:G154" si="4">E76+($D$7-2010)*(E108-E76)/(2020-2010)</f>
        <v>416.52373208400945</v>
      </c>
      <c r="F140" s="176">
        <f t="shared" si="4"/>
        <v>330.6823266395071</v>
      </c>
      <c r="G140" s="176">
        <f t="shared" si="4"/>
        <v>388.80781412435613</v>
      </c>
      <c r="H140" s="909"/>
      <c r="I140" s="176">
        <f t="shared" ref="I140:L154" si="5">I76+($D$7-2010)*(I108-I76)/(2020-2010)</f>
        <v>416.52373208400945</v>
      </c>
      <c r="J140" s="176">
        <f t="shared" si="5"/>
        <v>355.28950770773423</v>
      </c>
      <c r="K140" s="176">
        <f t="shared" si="5"/>
        <v>388.80781412435613</v>
      </c>
      <c r="L140" s="176">
        <f t="shared" si="5"/>
        <v>330.6823266395071</v>
      </c>
      <c r="M140" s="902"/>
      <c r="N140" s="301"/>
      <c r="O140" s="1123"/>
      <c r="P140" s="927"/>
    </row>
    <row r="141" spans="1:16" x14ac:dyDescent="0.25">
      <c r="A141" s="301"/>
      <c r="B141" s="302"/>
      <c r="C141" s="359" t="s">
        <v>351</v>
      </c>
      <c r="D141" s="176">
        <f t="shared" si="4"/>
        <v>0.36979850498781214</v>
      </c>
      <c r="E141" s="176">
        <f t="shared" si="4"/>
        <v>0.33424075718042395</v>
      </c>
      <c r="F141" s="176">
        <f t="shared" si="4"/>
        <v>0.37430085090060217</v>
      </c>
      <c r="G141" s="176">
        <f t="shared" si="4"/>
        <v>0.33172681952484762</v>
      </c>
      <c r="H141" s="909"/>
      <c r="I141" s="176">
        <f t="shared" si="5"/>
        <v>0.33424075718042395</v>
      </c>
      <c r="J141" s="176">
        <f t="shared" si="5"/>
        <v>0.36667735086007336</v>
      </c>
      <c r="K141" s="176">
        <f t="shared" si="5"/>
        <v>0.33172681952484762</v>
      </c>
      <c r="L141" s="176">
        <f t="shared" si="5"/>
        <v>0.37430085090060217</v>
      </c>
      <c r="M141" s="902"/>
      <c r="N141" s="301"/>
      <c r="O141" s="1123"/>
      <c r="P141" s="927"/>
    </row>
    <row r="142" spans="1:16" x14ac:dyDescent="0.25">
      <c r="A142" s="301"/>
      <c r="B142" s="302"/>
      <c r="C142" s="359" t="s">
        <v>377</v>
      </c>
      <c r="D142" s="176">
        <f t="shared" si="4"/>
        <v>1.3694303872453212E-2</v>
      </c>
      <c r="E142" s="176">
        <f t="shared" si="4"/>
        <v>1.8838832088144936E-2</v>
      </c>
      <c r="F142" s="176">
        <f t="shared" si="4"/>
        <v>1.2527374075353124E-2</v>
      </c>
      <c r="G142" s="176">
        <f t="shared" si="4"/>
        <v>1.7002753066726238E-2</v>
      </c>
      <c r="H142" s="909"/>
      <c r="I142" s="176">
        <f t="shared" si="5"/>
        <v>1.8838832088144936E-2</v>
      </c>
      <c r="J142" s="176">
        <f t="shared" si="5"/>
        <v>1.6222853824603936E-2</v>
      </c>
      <c r="K142" s="176">
        <f t="shared" si="5"/>
        <v>1.7002753066726238E-2</v>
      </c>
      <c r="L142" s="176">
        <f t="shared" si="5"/>
        <v>1.2527374075353124E-2</v>
      </c>
      <c r="M142" s="902"/>
      <c r="N142" s="301"/>
      <c r="O142" s="1123"/>
      <c r="P142" s="927"/>
    </row>
    <row r="143" spans="1:16" x14ac:dyDescent="0.25">
      <c r="A143" s="301"/>
      <c r="B143" s="302"/>
      <c r="C143" s="359" t="s">
        <v>426</v>
      </c>
      <c r="D143" s="176">
        <f t="shared" si="4"/>
        <v>0.35752162685378924</v>
      </c>
      <c r="E143" s="176">
        <f t="shared" si="4"/>
        <v>0.33393445236275715</v>
      </c>
      <c r="F143" s="176">
        <f t="shared" si="4"/>
        <v>0.36017317664940246</v>
      </c>
      <c r="G143" s="176">
        <f t="shared" si="4"/>
        <v>0.32633079586914204</v>
      </c>
      <c r="H143" s="909"/>
      <c r="I143" s="176">
        <f t="shared" si="5"/>
        <v>0.33393445236275715</v>
      </c>
      <c r="J143" s="176">
        <f t="shared" si="5"/>
        <v>0.35686454124676181</v>
      </c>
      <c r="K143" s="176">
        <f t="shared" si="5"/>
        <v>0.32633079586914204</v>
      </c>
      <c r="L143" s="176">
        <f t="shared" si="5"/>
        <v>0.36017317664940246</v>
      </c>
      <c r="M143" s="902"/>
      <c r="N143" s="301"/>
      <c r="O143" s="1123"/>
      <c r="P143" s="927"/>
    </row>
    <row r="144" spans="1:16" x14ac:dyDescent="0.25">
      <c r="A144" s="301"/>
      <c r="B144" s="302"/>
      <c r="C144" s="359" t="s">
        <v>424</v>
      </c>
      <c r="D144" s="176">
        <f t="shared" si="4"/>
        <v>0.10633723042713814</v>
      </c>
      <c r="E144" s="176">
        <f t="shared" si="4"/>
        <v>0.16922498313459119</v>
      </c>
      <c r="F144" s="176">
        <f t="shared" si="4"/>
        <v>0.10078781576141224</v>
      </c>
      <c r="G144" s="176">
        <f t="shared" si="4"/>
        <v>0.15189027605675809</v>
      </c>
      <c r="H144" s="909"/>
      <c r="I144" s="176">
        <f t="shared" si="5"/>
        <v>0.16922498313459119</v>
      </c>
      <c r="J144" s="176">
        <f t="shared" si="5"/>
        <v>0.12291190967196691</v>
      </c>
      <c r="K144" s="176">
        <f t="shared" si="5"/>
        <v>0.15189027605675809</v>
      </c>
      <c r="L144" s="176">
        <f t="shared" si="5"/>
        <v>0.10078781576141224</v>
      </c>
      <c r="M144" s="902"/>
      <c r="N144" s="301"/>
      <c r="O144" s="1123"/>
      <c r="P144" s="927"/>
    </row>
    <row r="145" spans="1:16" x14ac:dyDescent="0.25">
      <c r="A145" s="301"/>
      <c r="B145" s="302"/>
      <c r="C145" s="359" t="s">
        <v>451</v>
      </c>
      <c r="D145" s="176">
        <f t="shared" si="4"/>
        <v>1235.4638384688028</v>
      </c>
      <c r="E145" s="176">
        <f t="shared" si="4"/>
        <v>1745.2023505409602</v>
      </c>
      <c r="F145" s="176">
        <f t="shared" si="4"/>
        <v>1227.272600981212</v>
      </c>
      <c r="G145" s="176">
        <f t="shared" si="4"/>
        <v>1658.6083754363062</v>
      </c>
      <c r="H145" s="909"/>
      <c r="I145" s="176">
        <f t="shared" si="5"/>
        <v>1745.2023505409602</v>
      </c>
      <c r="J145" s="176">
        <f t="shared" si="5"/>
        <v>1335.8360742662071</v>
      </c>
      <c r="K145" s="176">
        <f t="shared" si="5"/>
        <v>1658.6083754363062</v>
      </c>
      <c r="L145" s="176">
        <f t="shared" si="5"/>
        <v>1227.272600981212</v>
      </c>
      <c r="M145" s="902"/>
      <c r="N145" s="301"/>
      <c r="O145" s="1123"/>
      <c r="P145" s="927"/>
    </row>
    <row r="146" spans="1:16" x14ac:dyDescent="0.25">
      <c r="A146" s="301"/>
      <c r="B146" s="302"/>
      <c r="C146" s="359" t="s">
        <v>452</v>
      </c>
      <c r="D146" s="176">
        <f t="shared" si="4"/>
        <v>5.2423743485167575</v>
      </c>
      <c r="E146" s="176">
        <f t="shared" si="4"/>
        <v>7.6869840168065853</v>
      </c>
      <c r="F146" s="176">
        <f t="shared" si="4"/>
        <v>5.2356223778288538</v>
      </c>
      <c r="G146" s="176">
        <f t="shared" si="4"/>
        <v>7.233296978885309</v>
      </c>
      <c r="H146" s="909"/>
      <c r="I146" s="176">
        <f t="shared" si="5"/>
        <v>7.6869840168065853</v>
      </c>
      <c r="J146" s="176">
        <f t="shared" si="5"/>
        <v>5.7147686895413967</v>
      </c>
      <c r="K146" s="176">
        <f t="shared" si="5"/>
        <v>7.233296978885309</v>
      </c>
      <c r="L146" s="176">
        <f t="shared" si="5"/>
        <v>5.2356223778288538</v>
      </c>
      <c r="M146" s="902"/>
      <c r="N146" s="301"/>
      <c r="O146" s="1123"/>
      <c r="P146" s="927"/>
    </row>
    <row r="147" spans="1:16" x14ac:dyDescent="0.25">
      <c r="A147" s="301"/>
      <c r="B147" s="302"/>
      <c r="C147" s="359" t="s">
        <v>453</v>
      </c>
      <c r="D147" s="176">
        <f t="shared" si="4"/>
        <v>0.24080065412109397</v>
      </c>
      <c r="E147" s="176">
        <f t="shared" si="4"/>
        <v>0.45573112020403606</v>
      </c>
      <c r="F147" s="176">
        <f t="shared" si="4"/>
        <v>0.2252610013333487</v>
      </c>
      <c r="G147" s="176">
        <f t="shared" si="4"/>
        <v>0.42604717225408772</v>
      </c>
      <c r="H147" s="909"/>
      <c r="I147" s="176">
        <f t="shared" si="5"/>
        <v>0.45573112020403606</v>
      </c>
      <c r="J147" s="176">
        <f t="shared" si="5"/>
        <v>0.29909200775840478</v>
      </c>
      <c r="K147" s="176">
        <f t="shared" si="5"/>
        <v>0.42604717225408772</v>
      </c>
      <c r="L147" s="176">
        <f t="shared" si="5"/>
        <v>0.2252610013333487</v>
      </c>
      <c r="M147" s="902"/>
      <c r="N147" s="301"/>
      <c r="O147" s="1123"/>
      <c r="P147" s="927"/>
    </row>
    <row r="148" spans="1:16" x14ac:dyDescent="0.25">
      <c r="A148" s="301"/>
      <c r="B148" s="302"/>
      <c r="C148" s="359" t="s">
        <v>454</v>
      </c>
      <c r="D148" s="176">
        <f t="shared" si="4"/>
        <v>4.751435601092699</v>
      </c>
      <c r="E148" s="176">
        <f t="shared" si="4"/>
        <v>6.7274669250121857</v>
      </c>
      <c r="F148" s="176">
        <f t="shared" si="4"/>
        <v>4.7449925622753852</v>
      </c>
      <c r="G148" s="176">
        <f t="shared" si="4"/>
        <v>6.3461158181907056</v>
      </c>
      <c r="H148" s="909"/>
      <c r="I148" s="176">
        <f t="shared" si="5"/>
        <v>6.7274669250121857</v>
      </c>
      <c r="J148" s="176">
        <f t="shared" si="5"/>
        <v>5.1244295397085811</v>
      </c>
      <c r="K148" s="176">
        <f t="shared" si="5"/>
        <v>6.3461158181907056</v>
      </c>
      <c r="L148" s="176">
        <f t="shared" si="5"/>
        <v>4.7449925622753852</v>
      </c>
      <c r="M148" s="902"/>
      <c r="N148" s="301"/>
      <c r="O148" s="1123"/>
      <c r="P148" s="927"/>
    </row>
    <row r="149" spans="1:16" x14ac:dyDescent="0.25">
      <c r="A149" s="301"/>
      <c r="B149" s="302"/>
      <c r="C149" s="359" t="s">
        <v>455</v>
      </c>
      <c r="D149" s="176">
        <f t="shared" si="4"/>
        <v>0.34562252563794549</v>
      </c>
      <c r="E149" s="176">
        <f t="shared" si="4"/>
        <v>0.61608019132050917</v>
      </c>
      <c r="F149" s="176">
        <f t="shared" si="4"/>
        <v>0.32402671731649341</v>
      </c>
      <c r="G149" s="176">
        <f t="shared" si="4"/>
        <v>0.54747122229511369</v>
      </c>
      <c r="H149" s="909"/>
      <c r="I149" s="176">
        <f t="shared" si="5"/>
        <v>0.61608019132050917</v>
      </c>
      <c r="J149" s="176">
        <f t="shared" si="5"/>
        <v>0.40478410379835916</v>
      </c>
      <c r="K149" s="176">
        <f t="shared" si="5"/>
        <v>0.54747122229511369</v>
      </c>
      <c r="L149" s="176">
        <f t="shared" si="5"/>
        <v>0.32402671731649341</v>
      </c>
      <c r="M149" s="902"/>
      <c r="N149" s="301"/>
      <c r="O149" s="1123"/>
      <c r="P149" s="927"/>
    </row>
    <row r="150" spans="1:16" x14ac:dyDescent="0.25">
      <c r="A150" s="301"/>
      <c r="B150" s="302"/>
      <c r="C150" s="359" t="s">
        <v>403</v>
      </c>
      <c r="D150" s="176">
        <f t="shared" si="4"/>
        <v>1409.36702124773</v>
      </c>
      <c r="E150" s="176">
        <f t="shared" si="4"/>
        <v>1971.678693181824</v>
      </c>
      <c r="F150" s="176">
        <f t="shared" si="4"/>
        <v>1385.9336504531952</v>
      </c>
      <c r="G150" s="176">
        <f t="shared" si="4"/>
        <v>1897.1044137432275</v>
      </c>
      <c r="H150" s="909"/>
      <c r="I150" s="176">
        <f t="shared" si="5"/>
        <v>1971.678693181824</v>
      </c>
      <c r="J150" s="176">
        <f t="shared" si="5"/>
        <v>1564.5420170626348</v>
      </c>
      <c r="K150" s="176">
        <f t="shared" si="5"/>
        <v>1897.1044137432275</v>
      </c>
      <c r="L150" s="176">
        <f t="shared" si="5"/>
        <v>1385.9336504531952</v>
      </c>
      <c r="M150" s="902"/>
      <c r="N150" s="301"/>
      <c r="O150" s="1123"/>
      <c r="P150" s="927"/>
    </row>
    <row r="151" spans="1:16" x14ac:dyDescent="0.25">
      <c r="A151" s="301"/>
      <c r="B151" s="302"/>
      <c r="C151" s="359" t="s">
        <v>405</v>
      </c>
      <c r="D151" s="176">
        <f t="shared" si="4"/>
        <v>3.7780475720101361</v>
      </c>
      <c r="E151" s="176">
        <f t="shared" si="4"/>
        <v>5.2073871650154082</v>
      </c>
      <c r="F151" s="176">
        <f t="shared" si="4"/>
        <v>3.7154029895248017</v>
      </c>
      <c r="G151" s="176">
        <f t="shared" si="4"/>
        <v>4.9490032742462322</v>
      </c>
      <c r="H151" s="909"/>
      <c r="I151" s="176">
        <f t="shared" si="5"/>
        <v>5.2073871650154082</v>
      </c>
      <c r="J151" s="176">
        <f t="shared" si="5"/>
        <v>4.1052735117811148</v>
      </c>
      <c r="K151" s="176">
        <f t="shared" si="5"/>
        <v>4.9490032742462322</v>
      </c>
      <c r="L151" s="176">
        <f t="shared" si="5"/>
        <v>3.7154029895248017</v>
      </c>
      <c r="M151" s="902"/>
      <c r="N151" s="301"/>
      <c r="O151" s="1123"/>
      <c r="P151" s="927"/>
    </row>
    <row r="152" spans="1:16" x14ac:dyDescent="0.25">
      <c r="A152" s="301"/>
      <c r="B152" s="302"/>
      <c r="C152" s="359" t="s">
        <v>404</v>
      </c>
      <c r="D152" s="176">
        <f t="shared" si="4"/>
        <v>0.14019239573834533</v>
      </c>
      <c r="E152" s="176">
        <f t="shared" si="4"/>
        <v>0.29295410512178377</v>
      </c>
      <c r="F152" s="176">
        <f t="shared" si="4"/>
        <v>0.12951245057911509</v>
      </c>
      <c r="G152" s="176">
        <f t="shared" si="4"/>
        <v>0.27542127251451526</v>
      </c>
      <c r="H152" s="909"/>
      <c r="I152" s="176">
        <f t="shared" si="5"/>
        <v>0.29295410512178377</v>
      </c>
      <c r="J152" s="176">
        <f t="shared" si="5"/>
        <v>0.18824922434792699</v>
      </c>
      <c r="K152" s="176">
        <f t="shared" si="5"/>
        <v>0.27542127251451526</v>
      </c>
      <c r="L152" s="176">
        <f t="shared" si="5"/>
        <v>0.12951245057911509</v>
      </c>
      <c r="M152" s="902"/>
      <c r="N152" s="301"/>
      <c r="O152" s="1123"/>
      <c r="P152" s="927"/>
    </row>
    <row r="153" spans="1:16" x14ac:dyDescent="0.25">
      <c r="A153" s="301"/>
      <c r="B153" s="302"/>
      <c r="C153" s="359" t="s">
        <v>427</v>
      </c>
      <c r="D153" s="176">
        <f t="shared" si="4"/>
        <v>3.3654346354101907</v>
      </c>
      <c r="E153" s="176">
        <f t="shared" si="4"/>
        <v>4.5223930674533799</v>
      </c>
      <c r="F153" s="176">
        <f t="shared" si="4"/>
        <v>3.3107787240423336</v>
      </c>
      <c r="G153" s="176">
        <f t="shared" si="4"/>
        <v>4.3089104542431178</v>
      </c>
      <c r="H153" s="909"/>
      <c r="I153" s="176">
        <f t="shared" si="5"/>
        <v>4.5223930674533799</v>
      </c>
      <c r="J153" s="176">
        <f t="shared" si="5"/>
        <v>3.6323186695090737</v>
      </c>
      <c r="K153" s="176">
        <f t="shared" si="5"/>
        <v>4.3089104542431178</v>
      </c>
      <c r="L153" s="176">
        <f t="shared" si="5"/>
        <v>3.3107787240423336</v>
      </c>
      <c r="M153" s="902"/>
      <c r="N153" s="301"/>
      <c r="O153" s="1123"/>
      <c r="P153" s="927"/>
    </row>
    <row r="154" spans="1:16" x14ac:dyDescent="0.25">
      <c r="A154" s="301"/>
      <c r="B154" s="302"/>
      <c r="C154" s="359" t="s">
        <v>425</v>
      </c>
      <c r="D154" s="176">
        <f t="shared" si="4"/>
        <v>0.27485884463310967</v>
      </c>
      <c r="E154" s="176">
        <f t="shared" si="4"/>
        <v>0.53935703890201681</v>
      </c>
      <c r="F154" s="176">
        <f t="shared" si="4"/>
        <v>0.25282466194288072</v>
      </c>
      <c r="G154" s="176">
        <f t="shared" si="4"/>
        <v>0.48803537367847094</v>
      </c>
      <c r="H154" s="909"/>
      <c r="I154" s="176">
        <f t="shared" si="5"/>
        <v>0.53935703890201681</v>
      </c>
      <c r="J154" s="176">
        <f t="shared" si="5"/>
        <v>0.34419290985486173</v>
      </c>
      <c r="K154" s="176">
        <f t="shared" si="5"/>
        <v>0.48803537367847094</v>
      </c>
      <c r="L154" s="176">
        <f t="shared" si="5"/>
        <v>0.25282466194288072</v>
      </c>
      <c r="M154" s="902"/>
      <c r="N154" s="301"/>
      <c r="O154" s="1123"/>
    </row>
    <row r="155" spans="1:16" x14ac:dyDescent="0.25">
      <c r="A155" s="301"/>
      <c r="B155" s="302"/>
      <c r="C155" s="591" t="s">
        <v>457</v>
      </c>
      <c r="D155" s="913"/>
      <c r="E155" s="913"/>
      <c r="F155" s="913"/>
      <c r="G155" s="913"/>
      <c r="H155" s="897"/>
      <c r="I155" s="913"/>
      <c r="J155" s="913"/>
      <c r="K155" s="913"/>
      <c r="L155" s="913"/>
      <c r="M155" s="177"/>
      <c r="N155" s="301"/>
      <c r="O155" s="1123"/>
    </row>
    <row r="156" spans="1:16" x14ac:dyDescent="0.25">
      <c r="A156" s="301"/>
      <c r="B156" s="302"/>
      <c r="C156" s="359" t="s">
        <v>315</v>
      </c>
      <c r="D156" s="175">
        <f>D50*D17*$D$8*D38*D39</f>
        <v>9348000</v>
      </c>
      <c r="E156" s="175">
        <f>E50*E17*$D$8*E38*E39</f>
        <v>23370000</v>
      </c>
      <c r="F156" s="175">
        <f>F50*F17*$D$8*F38*F39</f>
        <v>0</v>
      </c>
      <c r="G156" s="175">
        <f>G50*G17*$D$8*G38*G39</f>
        <v>0</v>
      </c>
      <c r="H156" s="909"/>
      <c r="I156" s="175">
        <f>I50*I17*$D$8*I38*I39</f>
        <v>23370000</v>
      </c>
      <c r="J156" s="175">
        <f>J50*J17*$D$8*J38*J39</f>
        <v>14022000</v>
      </c>
      <c r="K156" s="175">
        <f>K50*K17*$D$8*K38*K39</f>
        <v>0</v>
      </c>
      <c r="L156" s="175">
        <f>L50*L17*$D$8*L38*L39</f>
        <v>0</v>
      </c>
      <c r="M156" s="901"/>
      <c r="N156" s="301"/>
      <c r="O156" s="1157"/>
    </row>
    <row r="157" spans="1:16" x14ac:dyDescent="0.25">
      <c r="A157" s="301"/>
      <c r="B157" s="302"/>
      <c r="C157" s="359" t="s">
        <v>317</v>
      </c>
      <c r="D157" s="175">
        <f>D50*D18*$D$8*D38*D39</f>
        <v>49200</v>
      </c>
      <c r="E157" s="175">
        <f>E50*E18*$D$8*E38*E39</f>
        <v>123000</v>
      </c>
      <c r="F157" s="175">
        <f>F50*F18*$D$8*F38*F39</f>
        <v>0</v>
      </c>
      <c r="G157" s="175">
        <f>G50*G18*$D$8*G38*G39</f>
        <v>0</v>
      </c>
      <c r="H157" s="909"/>
      <c r="I157" s="175">
        <f>I50*I18*$D$8*I38*I39</f>
        <v>123000</v>
      </c>
      <c r="J157" s="175">
        <f>J50*J18*$D$8*J38*J39</f>
        <v>73800.000000000015</v>
      </c>
      <c r="K157" s="175">
        <f>K50*K18*$D$8*K38*K39</f>
        <v>0</v>
      </c>
      <c r="L157" s="175">
        <f>L50*L18*$D$8*L38*L39</f>
        <v>0</v>
      </c>
      <c r="M157" s="901"/>
      <c r="N157" s="301"/>
      <c r="O157" s="1157"/>
    </row>
    <row r="158" spans="1:16" x14ac:dyDescent="0.25">
      <c r="A158" s="301"/>
      <c r="B158" s="302"/>
      <c r="C158" s="359" t="s">
        <v>319</v>
      </c>
      <c r="D158" s="175">
        <f>D50*D19*$D$8*D38*D39</f>
        <v>442800</v>
      </c>
      <c r="E158" s="175">
        <f>E50*E19*$D$8*E38*E39</f>
        <v>1107000</v>
      </c>
      <c r="F158" s="175">
        <f>F50*F19*$D$8*F38*F39</f>
        <v>0</v>
      </c>
      <c r="G158" s="175">
        <f>G50*G19*$D$8*G38*G39</f>
        <v>0</v>
      </c>
      <c r="H158" s="909"/>
      <c r="I158" s="175">
        <f>I50*I19*$D$8*I38*I39</f>
        <v>1107000</v>
      </c>
      <c r="J158" s="175">
        <f>J50*J19*$D$8*J38*J39</f>
        <v>664200</v>
      </c>
      <c r="K158" s="175">
        <f>K50*K19*$D$8*K38*K39</f>
        <v>0</v>
      </c>
      <c r="L158" s="175">
        <f>L50*L19*$D$8*L38*L39</f>
        <v>0</v>
      </c>
      <c r="M158" s="901"/>
      <c r="N158" s="301"/>
      <c r="O158" s="1157"/>
    </row>
    <row r="159" spans="1:16" x14ac:dyDescent="0.25">
      <c r="A159" s="301"/>
      <c r="B159" s="302"/>
      <c r="C159" s="359" t="s">
        <v>316</v>
      </c>
      <c r="D159" s="175">
        <f>D51*D17*$D$8*D38*D39</f>
        <v>9348000</v>
      </c>
      <c r="E159" s="175">
        <f>E51*E17*$D$8*E38*E39</f>
        <v>20273942.399999999</v>
      </c>
      <c r="F159" s="175">
        <f>F51*F17*$D$8*F38*F39</f>
        <v>0</v>
      </c>
      <c r="G159" s="175">
        <f>G51*G17*$D$8*G38*G39</f>
        <v>17623440</v>
      </c>
      <c r="H159" s="909"/>
      <c r="I159" s="175">
        <f>I51*I17*$D$8*I38*I39</f>
        <v>20273942.399999999</v>
      </c>
      <c r="J159" s="175">
        <f>J51*J17*$D$8*J38*J39</f>
        <v>14022000</v>
      </c>
      <c r="K159" s="175">
        <f>K51*K17*$D$8*K38*K39</f>
        <v>17623440</v>
      </c>
      <c r="L159" s="175">
        <f>L51*L17*$D$8*L38*L39</f>
        <v>0</v>
      </c>
      <c r="M159" s="901"/>
      <c r="N159" s="301"/>
      <c r="O159" s="1157"/>
    </row>
    <row r="160" spans="1:16" x14ac:dyDescent="0.25">
      <c r="A160" s="301"/>
      <c r="B160" s="302"/>
      <c r="C160" s="359" t="s">
        <v>318</v>
      </c>
      <c r="D160" s="175">
        <f>D51*D18*$D$8*D38*D39</f>
        <v>49200</v>
      </c>
      <c r="E160" s="175">
        <f>E51*E18*$D$8*E38*E39</f>
        <v>106704.96000000002</v>
      </c>
      <c r="F160" s="175">
        <f>F51*F18*$D$8*F38*F39</f>
        <v>0</v>
      </c>
      <c r="G160" s="175">
        <f>G51*G18*$D$8*G38*G39</f>
        <v>88560</v>
      </c>
      <c r="H160" s="909"/>
      <c r="I160" s="175">
        <f>I51*I18*$D$8*I38*I39</f>
        <v>106704.96000000002</v>
      </c>
      <c r="J160" s="175">
        <f>J51*J18*$D$8*J38*J39</f>
        <v>73800.000000000015</v>
      </c>
      <c r="K160" s="175">
        <f>K51*K18*$D$8*K38*K39</f>
        <v>88560</v>
      </c>
      <c r="L160" s="175">
        <f>L51*L18*$D$8*L38*L39</f>
        <v>0</v>
      </c>
      <c r="M160" s="901"/>
      <c r="N160" s="301"/>
      <c r="O160" s="1157"/>
    </row>
    <row r="161" spans="1:15" x14ac:dyDescent="0.25">
      <c r="A161" s="301"/>
      <c r="B161" s="302"/>
      <c r="C161" s="359" t="s">
        <v>320</v>
      </c>
      <c r="D161" s="175">
        <f>D51*D19*$D$8*D38*D39</f>
        <v>442800</v>
      </c>
      <c r="E161" s="175">
        <f>E51*E19*$D$8*E38*E39</f>
        <v>960344.6399999999</v>
      </c>
      <c r="F161" s="175">
        <f>F51*F19*$D$8*F38*F39</f>
        <v>0</v>
      </c>
      <c r="G161" s="175">
        <f>G51*G19*$D$8*G38*G39</f>
        <v>0</v>
      </c>
      <c r="H161" s="909"/>
      <c r="I161" s="175">
        <f>I51*I19*$D$8*I38*I39</f>
        <v>960344.6399999999</v>
      </c>
      <c r="J161" s="175">
        <f>J51*J19*$D$8*J38*J39</f>
        <v>664200</v>
      </c>
      <c r="K161" s="175">
        <f>K51*K19*$D$8*K38*K39</f>
        <v>0</v>
      </c>
      <c r="L161" s="175">
        <f>L51*L19*$D$8*L38*L39</f>
        <v>0</v>
      </c>
      <c r="M161" s="901"/>
      <c r="N161" s="301"/>
      <c r="O161" s="1157"/>
    </row>
    <row r="162" spans="1:15" x14ac:dyDescent="0.25">
      <c r="A162" s="301"/>
      <c r="B162" s="302"/>
      <c r="C162" s="591" t="s">
        <v>470</v>
      </c>
      <c r="D162" s="83"/>
      <c r="E162" s="83"/>
      <c r="F162" s="83"/>
      <c r="G162" s="83"/>
      <c r="H162" s="897"/>
      <c r="I162" s="83"/>
      <c r="J162" s="83"/>
      <c r="K162" s="83"/>
      <c r="L162" s="83"/>
      <c r="M162" s="83"/>
      <c r="N162" s="301"/>
      <c r="O162" s="1123"/>
    </row>
    <row r="163" spans="1:15" x14ac:dyDescent="0.25">
      <c r="A163" s="301"/>
      <c r="B163" s="302"/>
      <c r="C163" s="359" t="s">
        <v>442</v>
      </c>
      <c r="D163" s="175">
        <f>D124*D$156</f>
        <v>3131243758.0948629</v>
      </c>
      <c r="E163" s="175">
        <f>E124*E$156</f>
        <v>11924525545.339466</v>
      </c>
      <c r="F163" s="175">
        <f t="shared" ref="F163:L163" si="6">F124*F$156</f>
        <v>0</v>
      </c>
      <c r="G163" s="175">
        <f t="shared" si="6"/>
        <v>0</v>
      </c>
      <c r="H163" s="909"/>
      <c r="I163" s="175">
        <f t="shared" si="6"/>
        <v>11924525545.339466</v>
      </c>
      <c r="J163" s="175">
        <f t="shared" si="6"/>
        <v>4981869477.0778494</v>
      </c>
      <c r="K163" s="175">
        <f t="shared" si="6"/>
        <v>0</v>
      </c>
      <c r="L163" s="175">
        <f t="shared" si="6"/>
        <v>0</v>
      </c>
      <c r="M163" s="901"/>
      <c r="N163" s="301"/>
      <c r="O163" s="1123"/>
    </row>
    <row r="164" spans="1:15" x14ac:dyDescent="0.25">
      <c r="A164" s="301"/>
      <c r="B164" s="302"/>
      <c r="C164" s="359" t="s">
        <v>443</v>
      </c>
      <c r="D164" s="175">
        <f t="shared" ref="D164:L164" si="7">D125*D$156</f>
        <v>3456876.4246260677</v>
      </c>
      <c r="E164" s="175">
        <f t="shared" si="7"/>
        <v>8920349.7544546369</v>
      </c>
      <c r="F164" s="175">
        <f t="shared" si="7"/>
        <v>0</v>
      </c>
      <c r="G164" s="175">
        <f t="shared" si="7"/>
        <v>0</v>
      </c>
      <c r="H164" s="909"/>
      <c r="I164" s="175">
        <f t="shared" si="7"/>
        <v>8920349.7544546369</v>
      </c>
      <c r="J164" s="175">
        <f t="shared" si="7"/>
        <v>5141549.8137599491</v>
      </c>
      <c r="K164" s="175">
        <f t="shared" si="7"/>
        <v>0</v>
      </c>
      <c r="L164" s="175">
        <f t="shared" si="7"/>
        <v>0</v>
      </c>
      <c r="M164" s="901"/>
      <c r="N164" s="301"/>
      <c r="O164" s="1123"/>
    </row>
    <row r="165" spans="1:15" x14ac:dyDescent="0.25">
      <c r="A165" s="301"/>
      <c r="B165" s="302"/>
      <c r="C165" s="359" t="s">
        <v>444</v>
      </c>
      <c r="D165" s="175">
        <f t="shared" ref="D165:L165" si="8">D126*D$156</f>
        <v>128014.35259969262</v>
      </c>
      <c r="E165" s="175">
        <f t="shared" si="8"/>
        <v>592985.10564500769</v>
      </c>
      <c r="F165" s="175">
        <f t="shared" si="8"/>
        <v>0</v>
      </c>
      <c r="G165" s="175">
        <f t="shared" si="8"/>
        <v>0</v>
      </c>
      <c r="H165" s="909"/>
      <c r="I165" s="175">
        <f t="shared" si="8"/>
        <v>592985.10564500769</v>
      </c>
      <c r="J165" s="175">
        <f t="shared" si="8"/>
        <v>227476.85632859639</v>
      </c>
      <c r="K165" s="175">
        <f t="shared" si="8"/>
        <v>0</v>
      </c>
      <c r="L165" s="175">
        <f t="shared" si="8"/>
        <v>0</v>
      </c>
      <c r="M165" s="901"/>
      <c r="N165" s="301"/>
      <c r="O165" s="1123"/>
    </row>
    <row r="166" spans="1:15" x14ac:dyDescent="0.25">
      <c r="A166" s="301"/>
      <c r="B166" s="302"/>
      <c r="C166" s="359" t="s">
        <v>445</v>
      </c>
      <c r="D166" s="175">
        <f t="shared" ref="D166:L166" si="9">D127*D$156</f>
        <v>3342112.167829222</v>
      </c>
      <c r="E166" s="175">
        <f t="shared" si="9"/>
        <v>9765495.8838045392</v>
      </c>
      <c r="F166" s="175">
        <f t="shared" si="9"/>
        <v>0</v>
      </c>
      <c r="G166" s="175">
        <f t="shared" si="9"/>
        <v>0</v>
      </c>
      <c r="H166" s="909"/>
      <c r="I166" s="175">
        <f t="shared" si="9"/>
        <v>9765495.8838045392</v>
      </c>
      <c r="J166" s="175">
        <f t="shared" si="9"/>
        <v>5003954.5973620946</v>
      </c>
      <c r="K166" s="175">
        <f t="shared" si="9"/>
        <v>0</v>
      </c>
      <c r="L166" s="175">
        <f t="shared" si="9"/>
        <v>0</v>
      </c>
      <c r="M166" s="901"/>
      <c r="N166" s="301"/>
      <c r="O166" s="1123"/>
    </row>
    <row r="167" spans="1:15" x14ac:dyDescent="0.25">
      <c r="A167" s="301"/>
      <c r="B167" s="302"/>
      <c r="C167" s="359" t="s">
        <v>446</v>
      </c>
      <c r="D167" s="175">
        <f t="shared" ref="D167:L167" si="10">D128*D$156</f>
        <v>994040.43003288726</v>
      </c>
      <c r="E167" s="175">
        <f t="shared" si="10"/>
        <v>5281172.0169971343</v>
      </c>
      <c r="F167" s="175">
        <f t="shared" si="10"/>
        <v>0</v>
      </c>
      <c r="G167" s="175">
        <f t="shared" si="10"/>
        <v>0</v>
      </c>
      <c r="H167" s="909"/>
      <c r="I167" s="175">
        <f t="shared" si="10"/>
        <v>5281172.0169971343</v>
      </c>
      <c r="J167" s="175">
        <f t="shared" si="10"/>
        <v>1723470.7974203201</v>
      </c>
      <c r="K167" s="175">
        <f t="shared" si="10"/>
        <v>0</v>
      </c>
      <c r="L167" s="175">
        <f t="shared" si="10"/>
        <v>0</v>
      </c>
      <c r="M167" s="901"/>
      <c r="N167" s="301"/>
      <c r="O167" s="1123"/>
    </row>
    <row r="168" spans="1:15" x14ac:dyDescent="0.25">
      <c r="A168" s="301"/>
      <c r="B168" s="302"/>
      <c r="C168" s="359" t="s">
        <v>471</v>
      </c>
      <c r="D168" s="175">
        <f>D129*D$157</f>
        <v>60784820.852665097</v>
      </c>
      <c r="E168" s="175">
        <f t="shared" ref="E168:L168" si="11">E129*E$157</f>
        <v>250275813.89370129</v>
      </c>
      <c r="F168" s="175">
        <f t="shared" si="11"/>
        <v>0</v>
      </c>
      <c r="G168" s="175">
        <f t="shared" si="11"/>
        <v>0</v>
      </c>
      <c r="H168" s="909"/>
      <c r="I168" s="175">
        <f t="shared" si="11"/>
        <v>250275813.89370129</v>
      </c>
      <c r="J168" s="175">
        <f t="shared" si="11"/>
        <v>98584702.280846104</v>
      </c>
      <c r="K168" s="175">
        <f t="shared" si="11"/>
        <v>0</v>
      </c>
      <c r="L168" s="175">
        <f t="shared" si="11"/>
        <v>0</v>
      </c>
      <c r="M168" s="901"/>
      <c r="N168" s="301"/>
      <c r="O168" s="1123"/>
    </row>
    <row r="169" spans="1:15" x14ac:dyDescent="0.25">
      <c r="A169" s="301"/>
      <c r="B169" s="302"/>
      <c r="C169" s="359" t="s">
        <v>472</v>
      </c>
      <c r="D169" s="175">
        <f t="shared" ref="D169:L172" si="12">D130*D$157</f>
        <v>257924.81794702448</v>
      </c>
      <c r="E169" s="175">
        <f t="shared" si="12"/>
        <v>1127277.8348246804</v>
      </c>
      <c r="F169" s="175">
        <f t="shared" si="12"/>
        <v>0</v>
      </c>
      <c r="G169" s="175">
        <f t="shared" si="12"/>
        <v>0</v>
      </c>
      <c r="H169" s="909"/>
      <c r="I169" s="175">
        <f t="shared" si="12"/>
        <v>1127277.8348246804</v>
      </c>
      <c r="J169" s="175">
        <f t="shared" si="12"/>
        <v>421749.92928815517</v>
      </c>
      <c r="K169" s="175">
        <f t="shared" si="12"/>
        <v>0</v>
      </c>
      <c r="L169" s="175">
        <f t="shared" si="12"/>
        <v>0</v>
      </c>
      <c r="M169" s="901"/>
      <c r="N169" s="301"/>
      <c r="O169" s="1123"/>
    </row>
    <row r="170" spans="1:15" x14ac:dyDescent="0.25">
      <c r="A170" s="301"/>
      <c r="B170" s="302"/>
      <c r="C170" s="359" t="s">
        <v>473</v>
      </c>
      <c r="D170" s="175">
        <f t="shared" si="12"/>
        <v>11847.392182757823</v>
      </c>
      <c r="E170" s="175">
        <f t="shared" si="12"/>
        <v>67242.585794434126</v>
      </c>
      <c r="F170" s="175">
        <f t="shared" si="12"/>
        <v>0</v>
      </c>
      <c r="G170" s="175">
        <f t="shared" si="12"/>
        <v>0</v>
      </c>
      <c r="H170" s="909"/>
      <c r="I170" s="175">
        <f t="shared" si="12"/>
        <v>67242.585794434126</v>
      </c>
      <c r="J170" s="175">
        <f t="shared" si="12"/>
        <v>22072.990172570277</v>
      </c>
      <c r="K170" s="175">
        <f t="shared" si="12"/>
        <v>0</v>
      </c>
      <c r="L170" s="175">
        <f t="shared" si="12"/>
        <v>0</v>
      </c>
      <c r="M170" s="901"/>
      <c r="N170" s="301"/>
      <c r="O170" s="1123"/>
    </row>
    <row r="171" spans="1:15" x14ac:dyDescent="0.25">
      <c r="A171" s="301"/>
      <c r="B171" s="302"/>
      <c r="C171" s="359" t="s">
        <v>474</v>
      </c>
      <c r="D171" s="175">
        <f t="shared" si="12"/>
        <v>233770.63157376079</v>
      </c>
      <c r="E171" s="175">
        <f t="shared" si="12"/>
        <v>984000.34401726874</v>
      </c>
      <c r="F171" s="175">
        <f t="shared" si="12"/>
        <v>0</v>
      </c>
      <c r="G171" s="175">
        <f t="shared" si="12"/>
        <v>0</v>
      </c>
      <c r="H171" s="909"/>
      <c r="I171" s="175">
        <f t="shared" si="12"/>
        <v>984000.34401726874</v>
      </c>
      <c r="J171" s="175">
        <f t="shared" si="12"/>
        <v>378182.90003049333</v>
      </c>
      <c r="K171" s="175">
        <f t="shared" si="12"/>
        <v>0</v>
      </c>
      <c r="L171" s="175">
        <f t="shared" si="12"/>
        <v>0</v>
      </c>
      <c r="M171" s="901"/>
      <c r="N171" s="301"/>
      <c r="O171" s="1123"/>
    </row>
    <row r="172" spans="1:15" x14ac:dyDescent="0.25">
      <c r="A172" s="301"/>
      <c r="B172" s="302"/>
      <c r="C172" s="359" t="s">
        <v>475</v>
      </c>
      <c r="D172" s="175">
        <f t="shared" si="12"/>
        <v>17004.628261386919</v>
      </c>
      <c r="E172" s="175">
        <f t="shared" si="12"/>
        <v>100112.550675643</v>
      </c>
      <c r="F172" s="175">
        <f t="shared" si="12"/>
        <v>0</v>
      </c>
      <c r="G172" s="175">
        <f t="shared" si="12"/>
        <v>0</v>
      </c>
      <c r="H172" s="909"/>
      <c r="I172" s="175">
        <f t="shared" si="12"/>
        <v>100112.550675643</v>
      </c>
      <c r="J172" s="175">
        <f t="shared" si="12"/>
        <v>29873.066860318911</v>
      </c>
      <c r="K172" s="175">
        <f t="shared" si="12"/>
        <v>0</v>
      </c>
      <c r="L172" s="175">
        <f t="shared" si="12"/>
        <v>0</v>
      </c>
      <c r="M172" s="901"/>
      <c r="N172" s="301"/>
      <c r="O172" s="1123"/>
    </row>
    <row r="173" spans="1:15" x14ac:dyDescent="0.25">
      <c r="A173" s="301"/>
      <c r="B173" s="302"/>
      <c r="C173" s="359" t="s">
        <v>476</v>
      </c>
      <c r="D173" s="175">
        <f>D134*D$158</f>
        <v>624067717.00849485</v>
      </c>
      <c r="E173" s="175">
        <f t="shared" ref="E173:L173" si="13">E134*E$158</f>
        <v>2476601914.9616675</v>
      </c>
      <c r="F173" s="175">
        <f t="shared" si="13"/>
        <v>0</v>
      </c>
      <c r="G173" s="175">
        <f t="shared" si="13"/>
        <v>0</v>
      </c>
      <c r="H173" s="909"/>
      <c r="I173" s="175">
        <f t="shared" si="13"/>
        <v>2476601914.9616675</v>
      </c>
      <c r="J173" s="175">
        <f t="shared" si="13"/>
        <v>1039168807.7330021</v>
      </c>
      <c r="K173" s="175">
        <f t="shared" si="13"/>
        <v>0</v>
      </c>
      <c r="L173" s="175">
        <f t="shared" si="13"/>
        <v>0</v>
      </c>
      <c r="M173" s="901"/>
      <c r="N173" s="301"/>
      <c r="O173" s="1123"/>
    </row>
    <row r="174" spans="1:15" x14ac:dyDescent="0.25">
      <c r="A174" s="301"/>
      <c r="B174" s="302"/>
      <c r="C174" s="359" t="s">
        <v>477</v>
      </c>
      <c r="D174" s="175">
        <f t="shared" ref="D174:L177" si="14">D135*D$158</f>
        <v>1672919.4648860882</v>
      </c>
      <c r="E174" s="175">
        <f t="shared" si="14"/>
        <v>6718038.9433029341</v>
      </c>
      <c r="F174" s="175">
        <f t="shared" si="14"/>
        <v>0</v>
      </c>
      <c r="G174" s="175">
        <f t="shared" si="14"/>
        <v>0</v>
      </c>
      <c r="H174" s="909"/>
      <c r="I174" s="175">
        <f t="shared" si="14"/>
        <v>6718038.9433029341</v>
      </c>
      <c r="J174" s="175">
        <f t="shared" si="14"/>
        <v>2726722.6665250165</v>
      </c>
      <c r="K174" s="175">
        <f t="shared" si="14"/>
        <v>0</v>
      </c>
      <c r="L174" s="175">
        <f t="shared" si="14"/>
        <v>0</v>
      </c>
      <c r="M174" s="901"/>
      <c r="N174" s="301"/>
      <c r="O174" s="1123"/>
    </row>
    <row r="175" spans="1:15" x14ac:dyDescent="0.25">
      <c r="A175" s="301"/>
      <c r="B175" s="302"/>
      <c r="C175" s="359" t="s">
        <v>478</v>
      </c>
      <c r="D175" s="175">
        <f t="shared" si="14"/>
        <v>62077.192832939312</v>
      </c>
      <c r="E175" s="175">
        <f t="shared" si="14"/>
        <v>386590.34733444353</v>
      </c>
      <c r="F175" s="175">
        <f t="shared" si="14"/>
        <v>0</v>
      </c>
      <c r="G175" s="175">
        <f t="shared" si="14"/>
        <v>0</v>
      </c>
      <c r="H175" s="909"/>
      <c r="I175" s="175">
        <f t="shared" si="14"/>
        <v>386590.34733444353</v>
      </c>
      <c r="J175" s="175">
        <f t="shared" si="14"/>
        <v>125035.13481189311</v>
      </c>
      <c r="K175" s="175">
        <f t="shared" si="14"/>
        <v>0</v>
      </c>
      <c r="L175" s="175">
        <f t="shared" si="14"/>
        <v>0</v>
      </c>
      <c r="M175" s="901"/>
      <c r="N175" s="301"/>
      <c r="O175" s="1123"/>
    </row>
    <row r="176" spans="1:15" x14ac:dyDescent="0.25">
      <c r="A176" s="301"/>
      <c r="B176" s="302"/>
      <c r="C176" s="359" t="s">
        <v>479</v>
      </c>
      <c r="D176" s="175">
        <f t="shared" si="14"/>
        <v>1490214.4565596324</v>
      </c>
      <c r="E176" s="175">
        <f t="shared" si="14"/>
        <v>5812345.9673670884</v>
      </c>
      <c r="F176" s="175">
        <f t="shared" si="14"/>
        <v>0</v>
      </c>
      <c r="G176" s="175">
        <f t="shared" si="14"/>
        <v>0</v>
      </c>
      <c r="H176" s="909"/>
      <c r="I176" s="175">
        <f t="shared" si="14"/>
        <v>5812345.9673670884</v>
      </c>
      <c r="J176" s="175">
        <f t="shared" si="14"/>
        <v>2412586.0602879268</v>
      </c>
      <c r="K176" s="175">
        <f t="shared" si="14"/>
        <v>0</v>
      </c>
      <c r="L176" s="175">
        <f t="shared" si="14"/>
        <v>0</v>
      </c>
      <c r="M176" s="901"/>
      <c r="N176" s="301"/>
      <c r="O176" s="1123"/>
    </row>
    <row r="177" spans="1:32" x14ac:dyDescent="0.25">
      <c r="A177" s="301"/>
      <c r="B177" s="302"/>
      <c r="C177" s="359" t="s">
        <v>480</v>
      </c>
      <c r="D177" s="175">
        <f t="shared" si="14"/>
        <v>121707.49640354096</v>
      </c>
      <c r="E177" s="175">
        <f t="shared" si="14"/>
        <v>760497.0886542385</v>
      </c>
      <c r="F177" s="175">
        <f t="shared" si="14"/>
        <v>0</v>
      </c>
      <c r="G177" s="175">
        <f t="shared" si="14"/>
        <v>0</v>
      </c>
      <c r="H177" s="909"/>
      <c r="I177" s="175">
        <f t="shared" si="14"/>
        <v>760497.0886542385</v>
      </c>
      <c r="J177" s="175">
        <f t="shared" si="14"/>
        <v>228612.93072559917</v>
      </c>
      <c r="K177" s="175">
        <f t="shared" si="14"/>
        <v>0</v>
      </c>
      <c r="L177" s="175">
        <f t="shared" si="14"/>
        <v>0</v>
      </c>
      <c r="M177" s="901"/>
      <c r="N177" s="301"/>
      <c r="O177" s="1123"/>
    </row>
    <row r="178" spans="1:32" x14ac:dyDescent="0.25">
      <c r="A178" s="301"/>
      <c r="B178" s="302"/>
      <c r="C178" s="591" t="s">
        <v>481</v>
      </c>
      <c r="D178" s="83"/>
      <c r="E178" s="83"/>
      <c r="F178" s="83"/>
      <c r="G178" s="83"/>
      <c r="H178" s="897"/>
      <c r="I178" s="83"/>
      <c r="J178" s="83"/>
      <c r="K178" s="83"/>
      <c r="L178" s="83"/>
      <c r="M178" s="83"/>
      <c r="N178" s="301"/>
      <c r="O178" s="1123"/>
    </row>
    <row r="179" spans="1:32" x14ac:dyDescent="0.25">
      <c r="A179" s="301"/>
      <c r="B179" s="302"/>
      <c r="C179" s="359" t="s">
        <v>442</v>
      </c>
      <c r="D179" s="175">
        <f>D140*D$159</f>
        <v>3131243758.0948629</v>
      </c>
      <c r="E179" s="175">
        <f t="shared" ref="E179:L179" si="15">E140*E$159</f>
        <v>8444578152.5042391</v>
      </c>
      <c r="F179" s="175">
        <f t="shared" si="15"/>
        <v>0</v>
      </c>
      <c r="G179" s="175">
        <f>G140*G$159</f>
        <v>6852131183.7517424</v>
      </c>
      <c r="H179" s="909"/>
      <c r="I179" s="175">
        <f t="shared" si="15"/>
        <v>8444578152.5042391</v>
      </c>
      <c r="J179" s="175">
        <f t="shared" si="15"/>
        <v>4981869477.0778494</v>
      </c>
      <c r="K179" s="175">
        <f t="shared" si="15"/>
        <v>6852131183.7517424</v>
      </c>
      <c r="L179" s="175">
        <f t="shared" si="15"/>
        <v>0</v>
      </c>
      <c r="M179" s="901"/>
      <c r="N179" s="301"/>
      <c r="O179" s="1123"/>
    </row>
    <row r="180" spans="1:32" x14ac:dyDescent="0.25">
      <c r="A180" s="301"/>
      <c r="B180" s="302"/>
      <c r="C180" s="359" t="s">
        <v>443</v>
      </c>
      <c r="D180" s="175">
        <f t="shared" ref="D180:L183" si="16">D141*D$159</f>
        <v>3456876.4246260677</v>
      </c>
      <c r="E180" s="175">
        <f t="shared" si="16"/>
        <v>6776377.8588083014</v>
      </c>
      <c r="F180" s="175">
        <f t="shared" si="16"/>
        <v>0</v>
      </c>
      <c r="G180" s="175">
        <f t="shared" si="16"/>
        <v>5846167.7002869807</v>
      </c>
      <c r="H180" s="909"/>
      <c r="I180" s="175">
        <f t="shared" si="16"/>
        <v>6776377.8588083014</v>
      </c>
      <c r="J180" s="175">
        <f t="shared" si="16"/>
        <v>5141549.8137599491</v>
      </c>
      <c r="K180" s="175">
        <f t="shared" si="16"/>
        <v>5846167.7002869807</v>
      </c>
      <c r="L180" s="175">
        <f t="shared" si="16"/>
        <v>0</v>
      </c>
      <c r="M180" s="901"/>
      <c r="N180" s="301"/>
      <c r="O180" s="1123"/>
    </row>
    <row r="181" spans="1:32" x14ac:dyDescent="0.25">
      <c r="A181" s="301"/>
      <c r="B181" s="302"/>
      <c r="C181" s="359" t="s">
        <v>444</v>
      </c>
      <c r="D181" s="175">
        <f t="shared" si="16"/>
        <v>128014.35259969262</v>
      </c>
      <c r="E181" s="175">
        <f t="shared" si="16"/>
        <v>381937.3966383221</v>
      </c>
      <c r="F181" s="175">
        <f t="shared" si="16"/>
        <v>0</v>
      </c>
      <c r="G181" s="175">
        <f t="shared" si="16"/>
        <v>299646.99850626587</v>
      </c>
      <c r="H181" s="909"/>
      <c r="I181" s="175">
        <f t="shared" si="16"/>
        <v>381937.3966383221</v>
      </c>
      <c r="J181" s="175">
        <f t="shared" si="16"/>
        <v>227476.85632859639</v>
      </c>
      <c r="K181" s="175">
        <f t="shared" si="16"/>
        <v>299646.99850626587</v>
      </c>
      <c r="L181" s="175">
        <f t="shared" si="16"/>
        <v>0</v>
      </c>
      <c r="M181" s="901"/>
      <c r="N181" s="301"/>
      <c r="O181" s="1123"/>
    </row>
    <row r="182" spans="1:32" x14ac:dyDescent="0.25">
      <c r="A182" s="301"/>
      <c r="B182" s="302"/>
      <c r="C182" s="359" t="s">
        <v>445</v>
      </c>
      <c r="D182" s="175">
        <f t="shared" si="16"/>
        <v>3342112.167829222</v>
      </c>
      <c r="E182" s="175">
        <f t="shared" si="16"/>
        <v>6770167.8525780821</v>
      </c>
      <c r="F182" s="175">
        <f t="shared" si="16"/>
        <v>0</v>
      </c>
      <c r="G182" s="175">
        <f t="shared" si="16"/>
        <v>5751071.2011520723</v>
      </c>
      <c r="H182" s="909"/>
      <c r="I182" s="175">
        <f t="shared" si="16"/>
        <v>6770167.8525780821</v>
      </c>
      <c r="J182" s="175">
        <f t="shared" si="16"/>
        <v>5003954.5973620946</v>
      </c>
      <c r="K182" s="175">
        <f t="shared" si="16"/>
        <v>5751071.2011520723</v>
      </c>
      <c r="L182" s="175">
        <f t="shared" si="16"/>
        <v>0</v>
      </c>
      <c r="M182" s="901"/>
      <c r="N182" s="301"/>
      <c r="O182" s="1123"/>
    </row>
    <row r="183" spans="1:32" x14ac:dyDescent="0.25">
      <c r="A183" s="301"/>
      <c r="B183" s="302"/>
      <c r="C183" s="359" t="s">
        <v>446</v>
      </c>
      <c r="D183" s="175">
        <f t="shared" si="16"/>
        <v>994040.43003288726</v>
      </c>
      <c r="E183" s="175">
        <f t="shared" si="16"/>
        <v>3430857.560711673</v>
      </c>
      <c r="F183" s="175">
        <f t="shared" si="16"/>
        <v>0</v>
      </c>
      <c r="G183" s="175">
        <f t="shared" si="16"/>
        <v>2676829.1666697129</v>
      </c>
      <c r="H183" s="909"/>
      <c r="I183" s="175">
        <f t="shared" si="16"/>
        <v>3430857.560711673</v>
      </c>
      <c r="J183" s="175">
        <f t="shared" si="16"/>
        <v>1723470.7974203201</v>
      </c>
      <c r="K183" s="175">
        <f t="shared" si="16"/>
        <v>2676829.1666697129</v>
      </c>
      <c r="L183" s="175">
        <f t="shared" si="16"/>
        <v>0</v>
      </c>
      <c r="M183" s="901"/>
      <c r="N183" s="301"/>
      <c r="O183" s="1123"/>
    </row>
    <row r="184" spans="1:32" x14ac:dyDescent="0.25">
      <c r="A184" s="301"/>
      <c r="B184" s="302"/>
      <c r="C184" s="359" t="s">
        <v>471</v>
      </c>
      <c r="D184" s="175">
        <f>D145*D$160</f>
        <v>60784820.852665097</v>
      </c>
      <c r="E184" s="175">
        <f t="shared" ref="E184:L184" si="17">E145*E$160</f>
        <v>186221747.00637919</v>
      </c>
      <c r="F184" s="175">
        <f t="shared" si="17"/>
        <v>0</v>
      </c>
      <c r="G184" s="175">
        <f>G145*G$160</f>
        <v>146886357.72863927</v>
      </c>
      <c r="H184" s="909"/>
      <c r="I184" s="175">
        <f t="shared" si="17"/>
        <v>186221747.00637919</v>
      </c>
      <c r="J184" s="175">
        <f t="shared" si="17"/>
        <v>98584702.280846104</v>
      </c>
      <c r="K184" s="175">
        <f t="shared" si="17"/>
        <v>146886357.72863927</v>
      </c>
      <c r="L184" s="175">
        <f t="shared" si="17"/>
        <v>0</v>
      </c>
      <c r="M184" s="901"/>
      <c r="N184" s="301"/>
      <c r="O184" s="1123"/>
    </row>
    <row r="185" spans="1:32" x14ac:dyDescent="0.25">
      <c r="A185" s="301"/>
      <c r="B185" s="302"/>
      <c r="C185" s="359" t="s">
        <v>472</v>
      </c>
      <c r="D185" s="175">
        <f t="shared" ref="D185:L185" si="18">D146*D$160</f>
        <v>257924.81794702448</v>
      </c>
      <c r="E185" s="175">
        <f t="shared" si="18"/>
        <v>820239.32203398622</v>
      </c>
      <c r="F185" s="175">
        <f t="shared" si="18"/>
        <v>0</v>
      </c>
      <c r="G185" s="175">
        <f t="shared" si="18"/>
        <v>640580.78045008297</v>
      </c>
      <c r="H185" s="909"/>
      <c r="I185" s="175">
        <f t="shared" si="18"/>
        <v>820239.32203398622</v>
      </c>
      <c r="J185" s="175">
        <f t="shared" si="18"/>
        <v>421749.92928815517</v>
      </c>
      <c r="K185" s="175">
        <f t="shared" si="18"/>
        <v>640580.78045008297</v>
      </c>
      <c r="L185" s="175">
        <f t="shared" si="18"/>
        <v>0</v>
      </c>
      <c r="M185" s="901"/>
      <c r="N185" s="301"/>
      <c r="O185" s="1123"/>
    </row>
    <row r="186" spans="1:32" x14ac:dyDescent="0.25">
      <c r="A186" s="301"/>
      <c r="B186" s="302"/>
      <c r="C186" s="359" t="s">
        <v>473</v>
      </c>
      <c r="D186" s="175">
        <f t="shared" ref="D186:L186" si="19">D147*D$160</f>
        <v>11847.392182757823</v>
      </c>
      <c r="E186" s="175">
        <f t="shared" si="19"/>
        <v>48628.77095212687</v>
      </c>
      <c r="F186" s="175">
        <f t="shared" si="19"/>
        <v>0</v>
      </c>
      <c r="G186" s="175">
        <f t="shared" si="19"/>
        <v>37730.737574822007</v>
      </c>
      <c r="H186" s="909"/>
      <c r="I186" s="175">
        <f t="shared" si="19"/>
        <v>48628.77095212687</v>
      </c>
      <c r="J186" s="175">
        <f t="shared" si="19"/>
        <v>22072.990172570277</v>
      </c>
      <c r="K186" s="175">
        <f t="shared" si="19"/>
        <v>37730.737574822007</v>
      </c>
      <c r="L186" s="175">
        <f t="shared" si="19"/>
        <v>0</v>
      </c>
      <c r="M186" s="901"/>
      <c r="N186" s="301"/>
      <c r="O186" s="1123"/>
    </row>
    <row r="187" spans="1:32" x14ac:dyDescent="0.25">
      <c r="A187" s="301"/>
      <c r="B187" s="302"/>
      <c r="C187" s="359" t="s">
        <v>474</v>
      </c>
      <c r="D187" s="175">
        <f t="shared" ref="D187:L187" si="20">D148*D$160</f>
        <v>233770.63157376079</v>
      </c>
      <c r="E187" s="175">
        <f t="shared" si="20"/>
        <v>717854.08913474844</v>
      </c>
      <c r="F187" s="175">
        <f t="shared" si="20"/>
        <v>0</v>
      </c>
      <c r="G187" s="175">
        <f t="shared" si="20"/>
        <v>562012.01685896888</v>
      </c>
      <c r="H187" s="909"/>
      <c r="I187" s="175">
        <f t="shared" si="20"/>
        <v>717854.08913474844</v>
      </c>
      <c r="J187" s="175">
        <f t="shared" si="20"/>
        <v>378182.90003049333</v>
      </c>
      <c r="K187" s="175">
        <f t="shared" si="20"/>
        <v>562012.01685896888</v>
      </c>
      <c r="L187" s="175">
        <f t="shared" si="20"/>
        <v>0</v>
      </c>
      <c r="M187" s="901"/>
      <c r="N187" s="301"/>
      <c r="O187" s="1123"/>
    </row>
    <row r="188" spans="1:32" x14ac:dyDescent="0.25">
      <c r="A188" s="301"/>
      <c r="B188" s="302"/>
      <c r="C188" s="359" t="s">
        <v>475</v>
      </c>
      <c r="D188" s="175">
        <f t="shared" ref="D188:L188" si="21">D149*D$160</f>
        <v>17004.628261386919</v>
      </c>
      <c r="E188" s="175">
        <f t="shared" si="21"/>
        <v>65738.812171647296</v>
      </c>
      <c r="F188" s="175">
        <f t="shared" si="21"/>
        <v>0</v>
      </c>
      <c r="G188" s="175">
        <f t="shared" si="21"/>
        <v>48484.051446455269</v>
      </c>
      <c r="H188" s="909"/>
      <c r="I188" s="175">
        <f t="shared" si="21"/>
        <v>65738.812171647296</v>
      </c>
      <c r="J188" s="175">
        <f t="shared" si="21"/>
        <v>29873.066860318911</v>
      </c>
      <c r="K188" s="175">
        <f t="shared" si="21"/>
        <v>48484.051446455269</v>
      </c>
      <c r="L188" s="175">
        <f t="shared" si="21"/>
        <v>0</v>
      </c>
      <c r="M188" s="901"/>
      <c r="N188" s="301"/>
      <c r="O188" s="1123"/>
    </row>
    <row r="189" spans="1:32" s="328" customFormat="1" x14ac:dyDescent="0.25">
      <c r="A189" s="301"/>
      <c r="B189" s="302"/>
      <c r="C189" s="359" t="s">
        <v>476</v>
      </c>
      <c r="D189" s="175">
        <f>D150*D$161</f>
        <v>624067717.00849485</v>
      </c>
      <c r="E189" s="175">
        <f t="shared" ref="E189:L189" si="22">E150*E$161</f>
        <v>1893491064.7993691</v>
      </c>
      <c r="F189" s="175">
        <f t="shared" si="22"/>
        <v>0</v>
      </c>
      <c r="G189" s="175">
        <f t="shared" si="22"/>
        <v>0</v>
      </c>
      <c r="H189" s="909"/>
      <c r="I189" s="175">
        <f t="shared" si="22"/>
        <v>1893491064.7993691</v>
      </c>
      <c r="J189" s="175">
        <f t="shared" si="22"/>
        <v>1039168807.7330021</v>
      </c>
      <c r="K189" s="175">
        <f t="shared" si="22"/>
        <v>0</v>
      </c>
      <c r="L189" s="175">
        <f t="shared" si="22"/>
        <v>0</v>
      </c>
      <c r="M189" s="901"/>
      <c r="N189" s="301"/>
      <c r="O189" s="1123"/>
      <c r="P189" s="744"/>
      <c r="Q189" s="1086"/>
      <c r="R189" s="1086"/>
      <c r="S189" s="1086"/>
      <c r="T189" s="1086"/>
      <c r="U189" s="1086"/>
      <c r="V189" s="1086"/>
      <c r="W189" s="1086"/>
      <c r="X189" s="1086"/>
      <c r="Y189" s="1086"/>
      <c r="Z189" s="1086"/>
      <c r="AA189" s="1086"/>
      <c r="AB189" s="1086"/>
      <c r="AC189" s="1086"/>
      <c r="AD189" s="1086"/>
      <c r="AE189" s="1086"/>
      <c r="AF189" s="1086"/>
    </row>
    <row r="190" spans="1:32" x14ac:dyDescent="0.25">
      <c r="A190" s="301"/>
      <c r="B190" s="302"/>
      <c r="C190" s="359" t="s">
        <v>477</v>
      </c>
      <c r="D190" s="175">
        <f t="shared" ref="D190:L193" si="23">D151*D$161</f>
        <v>1672919.4648860882</v>
      </c>
      <c r="E190" s="175">
        <f t="shared" si="23"/>
        <v>5000886.3523273421</v>
      </c>
      <c r="F190" s="175">
        <f t="shared" si="23"/>
        <v>0</v>
      </c>
      <c r="G190" s="175">
        <f t="shared" si="23"/>
        <v>0</v>
      </c>
      <c r="H190" s="909"/>
      <c r="I190" s="175">
        <f t="shared" si="23"/>
        <v>5000886.3523273421</v>
      </c>
      <c r="J190" s="175">
        <f t="shared" si="23"/>
        <v>2726722.6665250165</v>
      </c>
      <c r="K190" s="175">
        <f t="shared" si="23"/>
        <v>0</v>
      </c>
      <c r="L190" s="175">
        <f t="shared" si="23"/>
        <v>0</v>
      </c>
      <c r="M190" s="901"/>
      <c r="N190" s="301"/>
      <c r="O190" s="1123"/>
    </row>
    <row r="191" spans="1:32" x14ac:dyDescent="0.25">
      <c r="A191" s="301"/>
      <c r="B191" s="302"/>
      <c r="C191" s="359" t="s">
        <v>478</v>
      </c>
      <c r="D191" s="175">
        <f t="shared" si="23"/>
        <v>62077.192832939312</v>
      </c>
      <c r="E191" s="175">
        <f t="shared" si="23"/>
        <v>281336.90461970156</v>
      </c>
      <c r="F191" s="175">
        <f t="shared" si="23"/>
        <v>0</v>
      </c>
      <c r="G191" s="175">
        <f t="shared" si="23"/>
        <v>0</v>
      </c>
      <c r="H191" s="909"/>
      <c r="I191" s="175">
        <f t="shared" si="23"/>
        <v>281336.90461970156</v>
      </c>
      <c r="J191" s="175">
        <f t="shared" si="23"/>
        <v>125035.13481189311</v>
      </c>
      <c r="K191" s="175">
        <f t="shared" si="23"/>
        <v>0</v>
      </c>
      <c r="L191" s="175">
        <f t="shared" si="23"/>
        <v>0</v>
      </c>
      <c r="M191" s="901"/>
      <c r="N191" s="301"/>
      <c r="O191" s="1123"/>
    </row>
    <row r="192" spans="1:32" x14ac:dyDescent="0.25">
      <c r="A192" s="301"/>
      <c r="B192" s="302"/>
      <c r="C192" s="359" t="s">
        <v>479</v>
      </c>
      <c r="D192" s="175">
        <f t="shared" si="23"/>
        <v>1490214.4565596324</v>
      </c>
      <c r="E192" s="175">
        <f t="shared" si="23"/>
        <v>4343055.942302011</v>
      </c>
      <c r="F192" s="175">
        <f t="shared" si="23"/>
        <v>0</v>
      </c>
      <c r="G192" s="175">
        <f t="shared" si="23"/>
        <v>0</v>
      </c>
      <c r="H192" s="909"/>
      <c r="I192" s="175">
        <f t="shared" si="23"/>
        <v>4343055.942302011</v>
      </c>
      <c r="J192" s="175">
        <f t="shared" si="23"/>
        <v>2412586.0602879268</v>
      </c>
      <c r="K192" s="175">
        <f t="shared" si="23"/>
        <v>0</v>
      </c>
      <c r="L192" s="175">
        <f t="shared" si="23"/>
        <v>0</v>
      </c>
      <c r="M192" s="901"/>
      <c r="N192" s="301"/>
      <c r="O192" s="1123"/>
    </row>
    <row r="193" spans="1:16" x14ac:dyDescent="0.25">
      <c r="A193" s="301"/>
      <c r="B193" s="302"/>
      <c r="C193" s="359" t="s">
        <v>480</v>
      </c>
      <c r="D193" s="175">
        <f t="shared" si="23"/>
        <v>121707.49640354096</v>
      </c>
      <c r="E193" s="175">
        <f t="shared" si="23"/>
        <v>517968.64135582326</v>
      </c>
      <c r="F193" s="175">
        <f t="shared" si="23"/>
        <v>0</v>
      </c>
      <c r="G193" s="175">
        <f t="shared" si="23"/>
        <v>0</v>
      </c>
      <c r="H193" s="909"/>
      <c r="I193" s="175">
        <f t="shared" si="23"/>
        <v>517968.64135582326</v>
      </c>
      <c r="J193" s="175">
        <f t="shared" si="23"/>
        <v>228612.93072559917</v>
      </c>
      <c r="K193" s="175">
        <f t="shared" si="23"/>
        <v>0</v>
      </c>
      <c r="L193" s="175">
        <f t="shared" si="23"/>
        <v>0</v>
      </c>
      <c r="M193" s="901"/>
      <c r="N193" s="301"/>
    </row>
    <row r="194" spans="1:16" x14ac:dyDescent="0.25">
      <c r="A194" s="301"/>
      <c r="B194" s="302"/>
      <c r="C194" s="29"/>
      <c r="D194" s="29"/>
      <c r="E194" s="29"/>
      <c r="F194" s="29"/>
      <c r="G194" s="29"/>
      <c r="H194" s="897"/>
      <c r="I194" s="29"/>
      <c r="J194" s="29"/>
      <c r="K194" s="29"/>
      <c r="L194" s="29"/>
      <c r="M194" s="29"/>
      <c r="N194" s="301"/>
      <c r="P194" s="1086"/>
    </row>
    <row r="195" spans="1:16" ht="15.75" x14ac:dyDescent="0.25">
      <c r="A195" s="301"/>
      <c r="B195" s="302"/>
      <c r="C195" s="914" t="s">
        <v>701</v>
      </c>
      <c r="D195" s="914"/>
      <c r="E195" s="914"/>
      <c r="F195" s="914"/>
      <c r="G195" s="914"/>
      <c r="H195" s="914"/>
      <c r="I195" s="914"/>
      <c r="J195" s="914"/>
      <c r="K195" s="914"/>
      <c r="L195" s="914"/>
      <c r="M195" s="29"/>
      <c r="N195" s="301"/>
    </row>
    <row r="196" spans="1:16" ht="16.5" thickBot="1" x14ac:dyDescent="0.3">
      <c r="A196" s="301"/>
      <c r="B196" s="1001"/>
      <c r="C196" s="298" t="s">
        <v>990</v>
      </c>
      <c r="D196" s="1062"/>
      <c r="E196" s="1062"/>
      <c r="F196" s="299"/>
      <c r="G196" s="303"/>
      <c r="H196" s="303"/>
      <c r="I196" s="303"/>
      <c r="J196" s="463"/>
      <c r="K196" s="463"/>
      <c r="L196" s="463"/>
      <c r="M196" s="29"/>
      <c r="N196" s="301"/>
    </row>
    <row r="197" spans="1:16" ht="15.75" x14ac:dyDescent="0.25">
      <c r="A197" s="301"/>
      <c r="B197" s="1001"/>
      <c r="C197" s="802" t="s">
        <v>124</v>
      </c>
      <c r="D197" s="920"/>
      <c r="E197" s="1055" t="s">
        <v>360</v>
      </c>
      <c r="F197" s="1255"/>
      <c r="G197" s="1255"/>
      <c r="H197" s="1255"/>
      <c r="I197" s="1255"/>
      <c r="J197" s="463"/>
      <c r="K197" s="463"/>
      <c r="L197" s="463"/>
      <c r="M197" s="29"/>
      <c r="N197" s="301"/>
    </row>
    <row r="198" spans="1:16" ht="16.5" thickBot="1" x14ac:dyDescent="0.3">
      <c r="A198" s="301"/>
      <c r="B198" s="1001"/>
      <c r="C198" s="508" t="s">
        <v>52</v>
      </c>
      <c r="D198" s="1046"/>
      <c r="E198" s="1043" t="s">
        <v>360</v>
      </c>
      <c r="F198" s="1045"/>
      <c r="G198" s="389"/>
      <c r="H198" s="389"/>
      <c r="I198" s="1045"/>
      <c r="J198" s="463"/>
      <c r="K198" s="463"/>
      <c r="L198" s="463"/>
      <c r="M198" s="29"/>
      <c r="N198" s="301"/>
    </row>
    <row r="199" spans="1:16" ht="15.75" thickBot="1" x14ac:dyDescent="0.3">
      <c r="A199" s="301"/>
      <c r="B199" s="302"/>
      <c r="C199" s="298" t="s">
        <v>724</v>
      </c>
      <c r="D199" s="298"/>
      <c r="E199" s="306"/>
      <c r="F199" s="306"/>
      <c r="G199" s="177"/>
      <c r="H199" s="177"/>
      <c r="I199" s="177"/>
      <c r="J199" s="177"/>
      <c r="K199" s="177"/>
      <c r="L199" s="177"/>
      <c r="M199" s="177"/>
      <c r="N199" s="301"/>
    </row>
    <row r="200" spans="1:16" x14ac:dyDescent="0.25">
      <c r="A200" s="301"/>
      <c r="B200" s="333"/>
      <c r="C200" s="802" t="s">
        <v>817</v>
      </c>
      <c r="D200" s="919"/>
      <c r="E200" s="916">
        <f>SUM(D163:L163,D168:L168,D173:L173)-SUM(D179:L179,D184:L184,D189:L189)</f>
        <v>-5743810463.1910629</v>
      </c>
      <c r="F200" s="39"/>
      <c r="G200" s="39"/>
      <c r="H200" s="39"/>
      <c r="I200" s="39"/>
      <c r="J200" s="39"/>
      <c r="K200" s="39"/>
      <c r="L200" s="39"/>
      <c r="M200" s="903"/>
      <c r="N200" s="301"/>
    </row>
    <row r="201" spans="1:16" x14ac:dyDescent="0.25">
      <c r="A201" s="301"/>
      <c r="B201" s="332"/>
      <c r="C201" s="330" t="s">
        <v>818</v>
      </c>
      <c r="D201" s="920"/>
      <c r="E201" s="917">
        <f>SUM(D164:L164,D169:L169,D174:L174)-SUM(D180:L180,D185:L185,D190:L190)</f>
        <v>-4637170.962648876</v>
      </c>
      <c r="F201"/>
      <c r="G201"/>
      <c r="H201" s="266"/>
      <c r="I201"/>
      <c r="J201"/>
      <c r="K201"/>
      <c r="L201"/>
      <c r="M201" s="303"/>
      <c r="N201" s="301"/>
    </row>
    <row r="202" spans="1:16" x14ac:dyDescent="0.25">
      <c r="A202" s="301"/>
      <c r="B202" s="332"/>
      <c r="C202" s="803" t="s">
        <v>819</v>
      </c>
      <c r="D202" s="920"/>
      <c r="E202" s="917">
        <f>SUM(D165:L165,D170:L170,D175:L175)-SUM(D181:L181,D186:L186,D191:L191)</f>
        <v>-4925.5390347065404</v>
      </c>
      <c r="F202" s="57"/>
      <c r="G202" s="57"/>
      <c r="H202" s="57"/>
      <c r="I202" s="57"/>
      <c r="J202" s="57"/>
      <c r="K202" s="57"/>
      <c r="L202" s="57"/>
      <c r="M202" s="904"/>
      <c r="N202" s="301"/>
    </row>
    <row r="203" spans="1:16" x14ac:dyDescent="0.25">
      <c r="A203" s="301"/>
      <c r="B203" s="332"/>
      <c r="C203" s="803" t="s">
        <v>820</v>
      </c>
      <c r="D203" s="920"/>
      <c r="E203" s="917">
        <f>SUM(D166:L166,D171:L171,D176:L176)-SUM(D182:L182,D187:L187,D192:L192)</f>
        <v>-3164637.8136739731</v>
      </c>
      <c r="F203" s="57"/>
      <c r="G203" s="57"/>
      <c r="H203" s="57"/>
      <c r="I203" s="57"/>
      <c r="J203" s="57"/>
      <c r="K203" s="57"/>
      <c r="L203" s="57"/>
      <c r="M203" s="904"/>
      <c r="N203" s="301"/>
    </row>
    <row r="204" spans="1:16" ht="15.75" thickBot="1" x14ac:dyDescent="0.3">
      <c r="A204" s="301"/>
      <c r="B204" s="332"/>
      <c r="C204" s="330" t="s">
        <v>821</v>
      </c>
      <c r="D204" s="921"/>
      <c r="E204" s="918">
        <f>SUM(D167:L167,D172:L172,D177:L177)-SUM(D183:L183,D188:L188,D193:L193)</f>
        <v>-1196193.1520565916</v>
      </c>
      <c r="F204" s="57"/>
      <c r="G204" s="57"/>
      <c r="H204" s="57"/>
      <c r="I204" s="57"/>
      <c r="J204" s="57"/>
      <c r="K204" s="57"/>
      <c r="L204" s="57"/>
      <c r="M204" s="904"/>
      <c r="N204" s="301"/>
    </row>
    <row r="205" spans="1:16" x14ac:dyDescent="0.25">
      <c r="A205" s="301"/>
      <c r="B205" s="332"/>
      <c r="C205" s="329" t="s">
        <v>974</v>
      </c>
      <c r="D205" s="920"/>
      <c r="E205" s="915">
        <f>(E200*0.00000110231)/$D$25</f>
        <v>-25.325838846720565</v>
      </c>
      <c r="F205"/>
      <c r="G205" s="57"/>
      <c r="H205" s="57"/>
      <c r="I205" s="57"/>
      <c r="J205" s="57"/>
      <c r="K205" s="57"/>
      <c r="L205" s="57"/>
      <c r="M205" s="904"/>
      <c r="N205" s="301"/>
    </row>
    <row r="206" spans="1:16" x14ac:dyDescent="0.25">
      <c r="A206" s="301"/>
      <c r="B206" s="332"/>
      <c r="C206" s="330" t="s">
        <v>975</v>
      </c>
      <c r="D206" s="920"/>
      <c r="E206" s="804">
        <f t="shared" ref="E206:E209" si="24">(E201*0.00000110231)/$D$25</f>
        <v>-2.0446399695349931E-2</v>
      </c>
      <c r="F206"/>
      <c r="G206"/>
      <c r="H206" s="266"/>
      <c r="I206"/>
      <c r="J206"/>
      <c r="K206"/>
      <c r="L206"/>
      <c r="M206" s="303"/>
      <c r="N206" s="301"/>
    </row>
    <row r="207" spans="1:16" x14ac:dyDescent="0.25">
      <c r="A207" s="301"/>
      <c r="B207" s="332"/>
      <c r="C207" s="330" t="s">
        <v>976</v>
      </c>
      <c r="D207" s="920"/>
      <c r="E207" s="804">
        <f t="shared" si="24"/>
        <v>-2.1717883733389469E-5</v>
      </c>
      <c r="F207"/>
      <c r="G207"/>
      <c r="H207" s="266"/>
      <c r="I207"/>
      <c r="J207"/>
      <c r="K207"/>
      <c r="L207"/>
      <c r="M207" s="303"/>
      <c r="N207" s="301"/>
    </row>
    <row r="208" spans="1:16" x14ac:dyDescent="0.25">
      <c r="A208" s="301"/>
      <c r="B208" s="332"/>
      <c r="C208" s="330" t="s">
        <v>977</v>
      </c>
      <c r="D208" s="920"/>
      <c r="E208" s="804">
        <f t="shared" si="24"/>
        <v>-1.3953647633563831E-2</v>
      </c>
      <c r="F208"/>
      <c r="G208"/>
      <c r="H208" s="266"/>
      <c r="I208"/>
      <c r="J208"/>
      <c r="K208"/>
      <c r="L208"/>
      <c r="M208" s="303"/>
      <c r="N208" s="301"/>
    </row>
    <row r="209" spans="1:14" ht="15.75" thickBot="1" x14ac:dyDescent="0.3">
      <c r="A209" s="301"/>
      <c r="B209" s="332"/>
      <c r="C209" s="331" t="s">
        <v>978</v>
      </c>
      <c r="D209" s="921"/>
      <c r="E209" s="922">
        <f t="shared" si="24"/>
        <v>-5.2743026937740059E-3</v>
      </c>
      <c r="F209"/>
      <c r="G209"/>
      <c r="H209" s="266"/>
      <c r="I209"/>
      <c r="J209"/>
      <c r="K209"/>
      <c r="L209"/>
      <c r="M209" s="303"/>
      <c r="N209" s="301"/>
    </row>
    <row r="210" spans="1:14" x14ac:dyDescent="0.25">
      <c r="A210" s="301"/>
      <c r="B210" s="302"/>
      <c r="C210"/>
      <c r="D210" s="367"/>
      <c r="E210"/>
      <c r="F210"/>
      <c r="G210"/>
      <c r="H210" s="266"/>
      <c r="I210"/>
      <c r="J210"/>
      <c r="K210"/>
      <c r="L210"/>
      <c r="M210" s="303"/>
      <c r="N210" s="301"/>
    </row>
    <row r="211" spans="1:14" x14ac:dyDescent="0.25">
      <c r="A211" s="301"/>
      <c r="B211" s="301"/>
      <c r="C211" s="301"/>
      <c r="D211" s="301"/>
      <c r="E211" s="301"/>
      <c r="F211" s="301"/>
      <c r="G211" s="301"/>
      <c r="H211" s="301"/>
      <c r="I211" s="301"/>
      <c r="J211" s="301"/>
      <c r="K211" s="301"/>
      <c r="L211" s="301"/>
      <c r="M211" s="301"/>
      <c r="N211" s="301"/>
    </row>
  </sheetData>
  <mergeCells count="30">
    <mergeCell ref="F197:G197"/>
    <mergeCell ref="H197:I197"/>
    <mergeCell ref="D25:E25"/>
    <mergeCell ref="D24:E24"/>
    <mergeCell ref="D23:E23"/>
    <mergeCell ref="D26:E26"/>
    <mergeCell ref="F26:G26"/>
    <mergeCell ref="K29:L29"/>
    <mergeCell ref="D43:G43"/>
    <mergeCell ref="I43:L43"/>
    <mergeCell ref="D44:E44"/>
    <mergeCell ref="F44:G44"/>
    <mergeCell ref="I44:J44"/>
    <mergeCell ref="K44:L44"/>
    <mergeCell ref="C21:L21"/>
    <mergeCell ref="C41:L41"/>
    <mergeCell ref="C3:L3"/>
    <mergeCell ref="C5:L5"/>
    <mergeCell ref="D10:L10"/>
    <mergeCell ref="D11:G11"/>
    <mergeCell ref="I11:L11"/>
    <mergeCell ref="D12:E12"/>
    <mergeCell ref="F12:G12"/>
    <mergeCell ref="I12:J12"/>
    <mergeCell ref="K12:L12"/>
    <mergeCell ref="D28:G28"/>
    <mergeCell ref="I28:L28"/>
    <mergeCell ref="D29:E29"/>
    <mergeCell ref="F29:G29"/>
    <mergeCell ref="I29:J29"/>
  </mergeCell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OtherVariables!$A$102:$A$108</xm:f>
          </x14:formula1>
          <xm:sqref>D9</xm:sqref>
        </x14:dataValidation>
        <x14:dataValidation type="list" allowBlank="1" showInputMessage="1" showErrorMessage="1">
          <x14:formula1>
            <xm:f>OtherVariables!$I$121:$I$131</xm:f>
          </x14:formula1>
          <xm:sqref>D7</xm:sqref>
        </x14:dataValidation>
        <x14:dataValidation type="list" allowBlank="1" showInputMessage="1" showErrorMessage="1">
          <x14:formula1>
            <xm:f>OtherVariables!$B$10:$B$29</xm:f>
          </x14:formula1>
          <xm:sqref>D26:G26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B100"/>
  <sheetViews>
    <sheetView showGridLines="0" zoomScale="80" zoomScaleNormal="80" workbookViewId="0">
      <selection activeCell="C24" sqref="C24"/>
    </sheetView>
  </sheetViews>
  <sheetFormatPr defaultRowHeight="15" x14ac:dyDescent="0.25"/>
  <cols>
    <col min="1" max="1" width="2.28515625" style="294" customWidth="1"/>
    <col min="2" max="2" width="2" style="294" customWidth="1"/>
    <col min="3" max="3" width="71.7109375" style="692" customWidth="1"/>
    <col min="4" max="5" width="16.42578125" style="294" hidden="1" customWidth="1"/>
    <col min="6" max="6" width="24.28515625" style="294" bestFit="1" customWidth="1"/>
    <col min="7" max="7" width="2.28515625" style="294" customWidth="1"/>
    <col min="8" max="8" width="2.140625" style="294" customWidth="1"/>
    <col min="9" max="9" width="35.7109375" style="744" bestFit="1" customWidth="1"/>
    <col min="10" max="11" width="10.140625" style="744" customWidth="1"/>
    <col min="12" max="12" width="10" style="744" customWidth="1"/>
    <col min="13" max="15" width="9.140625" style="744"/>
    <col min="16" max="16" width="9.7109375" style="744" bestFit="1" customWidth="1"/>
    <col min="17" max="25" width="9.140625" style="744"/>
    <col min="26" max="27" width="9.140625" style="294"/>
    <col min="28" max="28" width="20.42578125" style="294" bestFit="1" customWidth="1"/>
    <col min="29" max="16384" width="9.140625" style="294"/>
  </cols>
  <sheetData>
    <row r="1" spans="1:28" x14ac:dyDescent="0.25">
      <c r="A1" s="688"/>
      <c r="B1" s="688"/>
      <c r="C1" s="688"/>
      <c r="D1" s="688"/>
      <c r="E1" s="688"/>
      <c r="F1" s="688"/>
      <c r="G1" s="688"/>
      <c r="H1" s="688"/>
    </row>
    <row r="2" spans="1:28" ht="10.5" customHeight="1" x14ac:dyDescent="0.25">
      <c r="A2" s="688"/>
      <c r="B2" s="687"/>
      <c r="C2" s="1198"/>
      <c r="D2" s="1198"/>
      <c r="E2" s="1198"/>
      <c r="F2" s="1198"/>
      <c r="G2" s="687"/>
      <c r="H2" s="688"/>
    </row>
    <row r="3" spans="1:28" ht="26.25" x14ac:dyDescent="0.25">
      <c r="A3" s="706"/>
      <c r="B3" s="302"/>
      <c r="C3" s="1199" t="s">
        <v>48</v>
      </c>
      <c r="D3" s="1199"/>
      <c r="E3" s="1199"/>
      <c r="F3" s="1199"/>
      <c r="G3" s="480"/>
      <c r="H3" s="706"/>
    </row>
    <row r="4" spans="1:28" x14ac:dyDescent="0.25">
      <c r="A4" s="706"/>
      <c r="B4" s="302"/>
      <c r="C4" s="5"/>
      <c r="D4"/>
      <c r="E4"/>
      <c r="F4"/>
      <c r="G4" s="303"/>
      <c r="H4" s="706"/>
      <c r="AB4" s="669"/>
    </row>
    <row r="5" spans="1:28" ht="15.75" x14ac:dyDescent="0.25">
      <c r="A5" s="706"/>
      <c r="B5" s="302"/>
      <c r="C5" s="1200" t="s">
        <v>703</v>
      </c>
      <c r="D5" s="1200"/>
      <c r="E5" s="1200"/>
      <c r="F5" s="1200"/>
      <c r="G5" s="229"/>
      <c r="H5" s="706"/>
      <c r="AB5" s="669"/>
    </row>
    <row r="6" spans="1:28" ht="15.75" x14ac:dyDescent="0.25">
      <c r="A6" s="706"/>
      <c r="B6" s="302"/>
      <c r="C6" s="695" t="s">
        <v>711</v>
      </c>
      <c r="D6" s="694"/>
      <c r="E6" s="693"/>
      <c r="F6" s="695" t="s">
        <v>720</v>
      </c>
      <c r="G6" s="164"/>
      <c r="H6" s="706"/>
      <c r="AB6" s="669"/>
    </row>
    <row r="7" spans="1:28" x14ac:dyDescent="0.25">
      <c r="A7" s="706"/>
      <c r="B7" s="302"/>
      <c r="C7" s="466" t="s">
        <v>136</v>
      </c>
      <c r="D7" s="124">
        <v>2010</v>
      </c>
      <c r="E7" s="124">
        <v>2020</v>
      </c>
      <c r="F7" s="129">
        <v>2017</v>
      </c>
      <c r="G7" s="16"/>
      <c r="H7" s="706"/>
      <c r="AB7" s="669"/>
    </row>
    <row r="8" spans="1:28" x14ac:dyDescent="0.25">
      <c r="A8" s="706"/>
      <c r="B8" s="302"/>
      <c r="C8" s="597" t="s">
        <v>22</v>
      </c>
      <c r="D8" s="49"/>
      <c r="E8" s="49"/>
      <c r="F8" s="49">
        <v>8391</v>
      </c>
      <c r="G8" s="684"/>
      <c r="H8" s="706"/>
      <c r="AB8" s="669"/>
    </row>
    <row r="9" spans="1:28" x14ac:dyDescent="0.25">
      <c r="A9" s="706"/>
      <c r="B9" s="302"/>
      <c r="C9" s="623" t="s">
        <v>190</v>
      </c>
      <c r="D9" s="49"/>
      <c r="E9" s="49"/>
      <c r="F9" s="49">
        <v>1500</v>
      </c>
      <c r="G9" s="684"/>
      <c r="H9" s="706"/>
      <c r="AB9" s="669"/>
    </row>
    <row r="10" spans="1:28" x14ac:dyDescent="0.25">
      <c r="A10" s="706"/>
      <c r="B10" s="302"/>
      <c r="C10" s="597" t="s">
        <v>24</v>
      </c>
      <c r="D10" s="49"/>
      <c r="E10" s="49"/>
      <c r="F10" s="50">
        <v>2</v>
      </c>
      <c r="G10" s="686"/>
      <c r="H10" s="706"/>
      <c r="AB10" s="669"/>
    </row>
    <row r="11" spans="1:28" x14ac:dyDescent="0.25">
      <c r="A11" s="706"/>
      <c r="B11" s="302"/>
      <c r="C11" s="623" t="s">
        <v>195</v>
      </c>
      <c r="D11" s="49"/>
      <c r="E11" s="49"/>
      <c r="F11" s="49">
        <v>35</v>
      </c>
      <c r="G11" s="684"/>
      <c r="H11" s="706"/>
      <c r="AB11" s="669"/>
    </row>
    <row r="12" spans="1:28" x14ac:dyDescent="0.25">
      <c r="A12" s="706"/>
      <c r="B12" s="302"/>
      <c r="C12" s="597" t="s">
        <v>363</v>
      </c>
      <c r="D12" s="49"/>
      <c r="E12" s="49"/>
      <c r="F12" s="51">
        <v>7</v>
      </c>
      <c r="G12" s="493"/>
      <c r="H12" s="706"/>
      <c r="J12" s="1086"/>
      <c r="K12" s="1086"/>
      <c r="L12" s="1086"/>
    </row>
    <row r="13" spans="1:28" x14ac:dyDescent="0.25">
      <c r="A13" s="706"/>
      <c r="B13" s="302"/>
      <c r="C13" s="623" t="s">
        <v>26</v>
      </c>
      <c r="D13" s="49"/>
      <c r="E13" s="49"/>
      <c r="F13" s="54" t="s">
        <v>21</v>
      </c>
      <c r="G13" s="628"/>
      <c r="H13" s="706"/>
      <c r="J13" s="1086"/>
      <c r="K13" s="1085"/>
      <c r="L13" s="1086"/>
    </row>
    <row r="14" spans="1:28" x14ac:dyDescent="0.25">
      <c r="A14" s="706"/>
      <c r="B14" s="302"/>
      <c r="C14" s="623" t="s">
        <v>27</v>
      </c>
      <c r="D14" s="49"/>
      <c r="E14" s="49"/>
      <c r="F14" s="51" t="s">
        <v>28</v>
      </c>
      <c r="G14" s="493"/>
      <c r="H14" s="706"/>
      <c r="J14" s="1086"/>
      <c r="K14" s="1085"/>
      <c r="L14" s="1086"/>
    </row>
    <row r="15" spans="1:28" x14ac:dyDescent="0.25">
      <c r="A15" s="706"/>
      <c r="B15" s="302"/>
      <c r="C15" s="635" t="s">
        <v>369</v>
      </c>
      <c r="D15" s="16"/>
      <c r="E15" s="16"/>
      <c r="F15" s="16"/>
      <c r="G15" s="16"/>
      <c r="H15" s="706"/>
      <c r="AB15" s="669"/>
    </row>
    <row r="16" spans="1:28" x14ac:dyDescent="0.25">
      <c r="A16" s="706"/>
      <c r="B16" s="302"/>
      <c r="C16" s="351" t="s">
        <v>371</v>
      </c>
      <c r="D16" s="54"/>
      <c r="E16" s="54"/>
      <c r="F16" s="54" t="s">
        <v>21</v>
      </c>
      <c r="G16" s="628"/>
      <c r="H16" s="706"/>
      <c r="AB16" s="669"/>
    </row>
    <row r="17" spans="1:28" x14ac:dyDescent="0.25">
      <c r="A17" s="706"/>
      <c r="B17" s="302"/>
      <c r="C17" s="351" t="s">
        <v>979</v>
      </c>
      <c r="D17" s="53"/>
      <c r="E17" s="54"/>
      <c r="F17" s="53">
        <v>1.8</v>
      </c>
      <c r="G17" s="665"/>
      <c r="H17" s="706"/>
      <c r="J17" s="1086"/>
      <c r="AB17" s="669"/>
    </row>
    <row r="18" spans="1:28" x14ac:dyDescent="0.25">
      <c r="A18" s="706"/>
      <c r="B18" s="302"/>
      <c r="C18" s="635" t="s">
        <v>370</v>
      </c>
      <c r="D18" s="16"/>
      <c r="E18" s="16"/>
      <c r="F18" s="16"/>
      <c r="G18" s="16"/>
      <c r="H18" s="706"/>
      <c r="AB18" s="669"/>
    </row>
    <row r="19" spans="1:28" x14ac:dyDescent="0.25">
      <c r="A19" s="706"/>
      <c r="B19" s="302"/>
      <c r="C19" s="351" t="s">
        <v>989</v>
      </c>
      <c r="D19" s="54"/>
      <c r="E19" s="54"/>
      <c r="F19" s="54" t="s">
        <v>21</v>
      </c>
      <c r="G19" s="628"/>
      <c r="H19" s="706"/>
      <c r="AB19" s="669"/>
    </row>
    <row r="20" spans="1:28" x14ac:dyDescent="0.25">
      <c r="A20" s="706"/>
      <c r="B20" s="302"/>
      <c r="C20" s="351" t="s">
        <v>980</v>
      </c>
      <c r="D20" s="53"/>
      <c r="E20" s="54"/>
      <c r="F20" s="53">
        <v>0.5</v>
      </c>
      <c r="G20" s="665"/>
      <c r="H20" s="706"/>
      <c r="I20" s="1133"/>
      <c r="J20" s="1086"/>
      <c r="AB20" s="669"/>
    </row>
    <row r="21" spans="1:28" x14ac:dyDescent="0.25">
      <c r="A21" s="706"/>
      <c r="B21" s="302"/>
      <c r="C21" s="635" t="s">
        <v>0</v>
      </c>
      <c r="D21" s="16"/>
      <c r="E21" s="16"/>
      <c r="F21" s="16"/>
      <c r="G21" s="16"/>
      <c r="H21" s="706"/>
      <c r="AB21" s="669"/>
    </row>
    <row r="22" spans="1:28" x14ac:dyDescent="0.25">
      <c r="A22" s="706"/>
      <c r="B22" s="302"/>
      <c r="C22" s="592" t="s">
        <v>23</v>
      </c>
      <c r="D22" s="54"/>
      <c r="E22" s="54"/>
      <c r="F22" s="54" t="s">
        <v>21</v>
      </c>
      <c r="G22" s="628"/>
      <c r="H22" s="706"/>
      <c r="AB22" s="669"/>
    </row>
    <row r="23" spans="1:28" x14ac:dyDescent="0.25">
      <c r="A23" s="706"/>
      <c r="B23" s="302"/>
      <c r="C23" s="351" t="s">
        <v>981</v>
      </c>
      <c r="D23" s="54"/>
      <c r="E23" s="54"/>
      <c r="F23" s="53">
        <v>5.2</v>
      </c>
      <c r="G23" s="665"/>
      <c r="H23" s="706"/>
      <c r="J23" s="1086"/>
      <c r="AB23" s="669"/>
    </row>
    <row r="24" spans="1:28" ht="30" x14ac:dyDescent="0.25">
      <c r="A24" s="706"/>
      <c r="B24" s="302"/>
      <c r="C24" s="626" t="s">
        <v>47</v>
      </c>
      <c r="D24" s="54"/>
      <c r="E24" s="54"/>
      <c r="F24" s="1016">
        <v>600</v>
      </c>
      <c r="G24" s="493"/>
      <c r="H24" s="706"/>
      <c r="K24" s="1085"/>
      <c r="L24" s="1086"/>
    </row>
    <row r="25" spans="1:28" x14ac:dyDescent="0.25">
      <c r="A25" s="706"/>
      <c r="B25" s="302"/>
      <c r="C25" s="592" t="s">
        <v>32</v>
      </c>
      <c r="D25" s="54"/>
      <c r="E25" s="54"/>
      <c r="F25" s="54" t="s">
        <v>21</v>
      </c>
      <c r="G25" s="628"/>
      <c r="H25" s="706"/>
      <c r="K25" s="1085"/>
      <c r="L25" s="1086"/>
    </row>
    <row r="26" spans="1:28" x14ac:dyDescent="0.25">
      <c r="A26" s="706"/>
      <c r="B26" s="302"/>
      <c r="C26" s="666"/>
      <c r="D26" s="628"/>
      <c r="E26" s="628"/>
      <c r="F26" s="628"/>
      <c r="G26" s="628"/>
      <c r="H26" s="706"/>
      <c r="L26" s="1087"/>
      <c r="M26" s="1088"/>
    </row>
    <row r="27" spans="1:28" ht="15.75" x14ac:dyDescent="0.25">
      <c r="A27" s="706"/>
      <c r="B27" s="302"/>
      <c r="C27" s="1200" t="s">
        <v>744</v>
      </c>
      <c r="D27" s="1200"/>
      <c r="E27" s="1200"/>
      <c r="F27" s="1200"/>
      <c r="G27" s="10"/>
      <c r="H27" s="706"/>
      <c r="L27" s="1087"/>
      <c r="M27" s="1088"/>
    </row>
    <row r="28" spans="1:28" x14ac:dyDescent="0.25">
      <c r="A28" s="706"/>
      <c r="B28" s="302"/>
      <c r="C28" s="696" t="s">
        <v>758</v>
      </c>
      <c r="D28" s="304"/>
      <c r="E28" s="304"/>
      <c r="F28" s="696" t="s">
        <v>727</v>
      </c>
      <c r="G28" s="304"/>
      <c r="H28" s="706"/>
    </row>
    <row r="29" spans="1:28" x14ac:dyDescent="0.25">
      <c r="A29" s="706"/>
      <c r="B29" s="302"/>
      <c r="C29" s="338" t="s">
        <v>12</v>
      </c>
      <c r="D29" s="13"/>
      <c r="E29" s="13"/>
      <c r="F29" s="13">
        <f>IF(F12&gt;3,IF(F12&gt;6,OtherVariables!$C$254,OtherVariables!$C$253),OtherVariables!$C$252)</f>
        <v>1.5E-3</v>
      </c>
      <c r="G29" s="636"/>
      <c r="H29" s="706"/>
    </row>
    <row r="30" spans="1:28" x14ac:dyDescent="0.25">
      <c r="A30" s="706"/>
      <c r="B30" s="302"/>
      <c r="C30" s="338" t="s">
        <v>10</v>
      </c>
      <c r="D30" s="13"/>
      <c r="E30" s="13"/>
      <c r="F30" s="13">
        <f>IF(F13="N",INDEX(OtherVariables!$B$244:$E$246,IF(F8&lt;OtherVariables!$B$244,1,IF(F8&lt;OtherVariables!$B$245,2,3)),IF(F10&lt;1,2,IF(F10&lt;2,3,4))),INDEX(OtherVariables!$H$244:$K$246,IF(F8&lt;OtherVariables!$B$244,1,IF(F8&lt;OtherVariables!$B$245,2,3)),IF(F10&lt;1,2,IF(F10&lt;2,3,4))))</f>
        <v>2.07E-2</v>
      </c>
      <c r="G30" s="636"/>
      <c r="H30" s="706"/>
    </row>
    <row r="31" spans="1:28" x14ac:dyDescent="0.25">
      <c r="A31" s="706"/>
      <c r="B31" s="302"/>
      <c r="C31" s="444" t="s">
        <v>73</v>
      </c>
      <c r="D31" s="23"/>
      <c r="E31" s="23"/>
      <c r="F31" s="23">
        <v>250</v>
      </c>
      <c r="G31" s="664"/>
      <c r="H31" s="706"/>
    </row>
    <row r="32" spans="1:28" x14ac:dyDescent="0.25">
      <c r="A32" s="706"/>
      <c r="B32" s="302"/>
      <c r="C32" s="444" t="s">
        <v>45</v>
      </c>
      <c r="D32" s="61"/>
      <c r="E32" s="61"/>
      <c r="F32" s="61">
        <f>IF(F25="Y",VLOOKUP(F14,OtherVariables!$B$260:$D$263,3),VLOOKUP(F14,OtherVariables!$B$260:$D$263,2))</f>
        <v>0.04</v>
      </c>
      <c r="G32" s="633"/>
      <c r="H32" s="706"/>
    </row>
    <row r="33" spans="1:8" x14ac:dyDescent="0.25">
      <c r="A33" s="706"/>
      <c r="B33" s="302"/>
      <c r="C33" s="444" t="s">
        <v>191</v>
      </c>
      <c r="D33" s="61"/>
      <c r="E33" s="61"/>
      <c r="F33" s="61">
        <v>0.1</v>
      </c>
      <c r="G33" s="633"/>
      <c r="H33" s="706"/>
    </row>
    <row r="34" spans="1:8" x14ac:dyDescent="0.25">
      <c r="A34" s="706"/>
      <c r="B34" s="302"/>
      <c r="C34" s="444" t="s">
        <v>375</v>
      </c>
      <c r="D34" s="203"/>
      <c r="E34" s="203"/>
      <c r="F34" s="203">
        <v>0.71</v>
      </c>
      <c r="G34" s="674"/>
      <c r="H34" s="706"/>
    </row>
    <row r="35" spans="1:8" x14ac:dyDescent="0.25">
      <c r="A35" s="706"/>
      <c r="B35" s="302"/>
      <c r="C35" s="444" t="s">
        <v>376</v>
      </c>
      <c r="D35" s="203"/>
      <c r="E35" s="203"/>
      <c r="F35" s="203">
        <v>2.1</v>
      </c>
      <c r="G35" s="674"/>
      <c r="H35" s="706"/>
    </row>
    <row r="36" spans="1:8" x14ac:dyDescent="0.25">
      <c r="A36" s="706"/>
      <c r="B36" s="302"/>
      <c r="C36" s="1"/>
      <c r="D36" s="674"/>
      <c r="E36" s="674"/>
      <c r="F36" s="674"/>
      <c r="G36" s="674"/>
      <c r="H36" s="706"/>
    </row>
    <row r="37" spans="1:8" ht="15.75" x14ac:dyDescent="0.25">
      <c r="A37" s="706"/>
      <c r="B37" s="302"/>
      <c r="C37" s="1200" t="s">
        <v>700</v>
      </c>
      <c r="D37" s="1200"/>
      <c r="E37" s="1200"/>
      <c r="F37" s="1200"/>
      <c r="G37" s="16"/>
      <c r="H37" s="706"/>
    </row>
    <row r="38" spans="1:8" ht="15.75" x14ac:dyDescent="0.25">
      <c r="A38" s="706"/>
      <c r="B38" s="302"/>
      <c r="C38" s="700" t="s">
        <v>711</v>
      </c>
      <c r="D38" s="699"/>
      <c r="E38" s="698"/>
      <c r="F38" s="700" t="s">
        <v>710</v>
      </c>
      <c r="G38" s="304"/>
      <c r="H38" s="706"/>
    </row>
    <row r="39" spans="1:8" x14ac:dyDescent="0.25">
      <c r="A39" s="706"/>
      <c r="B39" s="302"/>
      <c r="C39" s="444" t="s">
        <v>986</v>
      </c>
      <c r="D39" s="18"/>
      <c r="E39" s="18"/>
      <c r="F39" s="18">
        <f>IF(F16="Y",(F31*F8*(F29+F30)), 0)</f>
        <v>46570.05</v>
      </c>
      <c r="G39" s="32"/>
      <c r="H39" s="706"/>
    </row>
    <row r="40" spans="1:8" x14ac:dyDescent="0.25">
      <c r="A40" s="706"/>
      <c r="B40" s="302"/>
      <c r="C40" s="444" t="s">
        <v>987</v>
      </c>
      <c r="D40" s="18"/>
      <c r="E40" s="18"/>
      <c r="F40" s="18">
        <f>IF(F19="Y",(F8*(F29+F30))*F31,0)</f>
        <v>46570.05</v>
      </c>
      <c r="G40" s="32"/>
      <c r="H40" s="706"/>
    </row>
    <row r="41" spans="1:8" x14ac:dyDescent="0.25">
      <c r="A41" s="706"/>
      <c r="B41" s="302"/>
      <c r="C41" s="444" t="s">
        <v>988</v>
      </c>
      <c r="D41" s="18"/>
      <c r="E41" s="18"/>
      <c r="F41" s="18">
        <f>IF(F22="Y", F24*F32*F31, 0)</f>
        <v>6000</v>
      </c>
      <c r="G41" s="32"/>
      <c r="H41" s="706"/>
    </row>
    <row r="42" spans="1:8" x14ac:dyDescent="0.25">
      <c r="A42" s="706"/>
      <c r="B42" s="302"/>
      <c r="C42" s="444" t="s">
        <v>983</v>
      </c>
      <c r="D42" s="18"/>
      <c r="E42" s="18"/>
      <c r="F42" s="18">
        <f>SUM(F39:F41)</f>
        <v>99140.1</v>
      </c>
      <c r="G42" s="32"/>
      <c r="H42" s="706"/>
    </row>
    <row r="43" spans="1:8" x14ac:dyDescent="0.25">
      <c r="A43" s="706"/>
      <c r="B43" s="302"/>
      <c r="C43" s="444" t="s">
        <v>984</v>
      </c>
      <c r="D43" s="18"/>
      <c r="E43" s="18"/>
      <c r="F43" s="18">
        <f>F42/F31</f>
        <v>396.56040000000002</v>
      </c>
      <c r="G43" s="32"/>
      <c r="H43" s="706"/>
    </row>
    <row r="44" spans="1:8" x14ac:dyDescent="0.25">
      <c r="A44" s="706"/>
      <c r="B44" s="302"/>
      <c r="C44" s="444" t="s">
        <v>193</v>
      </c>
      <c r="D44" s="18"/>
      <c r="E44" s="18"/>
      <c r="F44" s="18">
        <f>F43*F33</f>
        <v>39.656040000000004</v>
      </c>
      <c r="G44" s="32"/>
      <c r="H44" s="706"/>
    </row>
    <row r="45" spans="1:8" x14ac:dyDescent="0.25">
      <c r="A45" s="706"/>
      <c r="B45" s="302"/>
      <c r="C45" s="444" t="s">
        <v>196</v>
      </c>
      <c r="D45" s="126"/>
      <c r="E45" s="126"/>
      <c r="F45" s="126">
        <f>F10*60/F11</f>
        <v>3.4285714285714284</v>
      </c>
      <c r="G45" s="663"/>
      <c r="H45" s="706"/>
    </row>
    <row r="46" spans="1:8" x14ac:dyDescent="0.25">
      <c r="A46" s="706"/>
      <c r="B46" s="302"/>
      <c r="C46" s="444" t="s">
        <v>192</v>
      </c>
      <c r="D46" s="125"/>
      <c r="E46" s="125"/>
      <c r="F46" s="125">
        <f>(F8*F33)/F9</f>
        <v>0.55940000000000001</v>
      </c>
      <c r="G46" s="675"/>
      <c r="H46" s="706"/>
    </row>
    <row r="47" spans="1:8" x14ac:dyDescent="0.25">
      <c r="A47" s="706"/>
      <c r="B47" s="302"/>
      <c r="C47" s="444" t="s">
        <v>194</v>
      </c>
      <c r="D47" s="21"/>
      <c r="E47" s="21"/>
      <c r="F47" s="21">
        <f>((F8*F33)-F44)/F9</f>
        <v>0.53296264000000004</v>
      </c>
      <c r="G47" s="676"/>
      <c r="H47" s="706"/>
    </row>
    <row r="48" spans="1:8" x14ac:dyDescent="0.25">
      <c r="A48" s="706"/>
      <c r="B48" s="302"/>
      <c r="C48" s="444" t="s">
        <v>839</v>
      </c>
      <c r="D48" s="125"/>
      <c r="E48" s="125"/>
      <c r="F48" s="125">
        <f>F45*(1+F34*((F46)^F35))</f>
        <v>4.1473394068659086</v>
      </c>
      <c r="G48" s="675"/>
      <c r="H48" s="706"/>
    </row>
    <row r="49" spans="1:20" x14ac:dyDescent="0.25">
      <c r="A49" s="706"/>
      <c r="B49" s="302"/>
      <c r="C49" s="359" t="s">
        <v>840</v>
      </c>
      <c r="D49" s="127"/>
      <c r="E49" s="127"/>
      <c r="F49" s="1020">
        <f>F45*(1+F34*((F47)^F35))</f>
        <v>4.077855517372619</v>
      </c>
      <c r="G49" s="680"/>
      <c r="H49" s="706"/>
    </row>
    <row r="50" spans="1:20" x14ac:dyDescent="0.25">
      <c r="A50" s="706"/>
      <c r="B50" s="302"/>
      <c r="C50" s="444" t="s">
        <v>447</v>
      </c>
      <c r="D50" s="127">
        <f>F50</f>
        <v>28.934212570434998</v>
      </c>
      <c r="E50" s="127">
        <f>F50</f>
        <v>28.934212570434998</v>
      </c>
      <c r="F50" s="1020">
        <f>F$10/(F48/60)</f>
        <v>28.934212570434998</v>
      </c>
      <c r="G50" s="680"/>
      <c r="H50" s="706"/>
    </row>
    <row r="51" spans="1:20" x14ac:dyDescent="0.25">
      <c r="A51" s="706"/>
      <c r="B51" s="302"/>
      <c r="C51" s="359" t="s">
        <v>448</v>
      </c>
      <c r="D51" s="127">
        <f>F51</f>
        <v>29.427231908725531</v>
      </c>
      <c r="E51" s="127">
        <f>F51</f>
        <v>29.427231908725531</v>
      </c>
      <c r="F51" s="1020">
        <f t="shared" ref="F51" si="0">F$10/(F49/60)</f>
        <v>29.427231908725531</v>
      </c>
      <c r="G51" s="680"/>
      <c r="H51" s="706"/>
    </row>
    <row r="52" spans="1:20" x14ac:dyDescent="0.25">
      <c r="A52" s="706"/>
      <c r="B52" s="302"/>
      <c r="C52" s="591" t="s">
        <v>402</v>
      </c>
      <c r="D52" s="690"/>
      <c r="E52" s="690"/>
      <c r="F52" s="690"/>
      <c r="G52" s="680"/>
      <c r="H52" s="706"/>
    </row>
    <row r="53" spans="1:20" x14ac:dyDescent="0.25">
      <c r="A53" s="706"/>
      <c r="B53" s="302"/>
      <c r="C53" s="359" t="s">
        <v>348</v>
      </c>
      <c r="D53" s="127">
        <f>LOOKUP(ROUNDDOWN($D$50/5, 0)*5,'2010ER'!$D$4:$D$19,'2010ER'!$H$4:$H$19)+(($D$50-ROUNDDOWN($D$50/5, 0)*5)/5)*(LOOKUP(ROUNDUP($D$50/5, 0)*5,'2010ER'!$D$4:$D$19,'2010ER'!$H$4:$H$19)-LOOKUP(ROUNDDOWN($D$50/5, 0)*5,'2010ER'!$D$4:$D$19,'2010ER'!$H$4:$H$19))</f>
        <v>427.82569167847737</v>
      </c>
      <c r="E53" s="127">
        <f>LOOKUP(ROUNDDOWN($E$50/5, 0)*5,'2020ER'!$D$4:$D$19,'2020ER'!$H$4:$H$19)+(($E$50-ROUNDDOWN($E$50/5, 0)*5)/5)*(LOOKUP(ROUNDUP($E$50/5, 0)*5,'2020ER'!$D$4:$D$19,'2020ER'!$H$4:$H$19)-LOOKUP(ROUNDDOWN($E$50/5, 0)*5,'2020ER'!$D$4:$D$19,'2020ER'!$H$4:$H$19))</f>
        <v>365.16136020214378</v>
      </c>
      <c r="F53" s="127">
        <f>TREND(D53:E53,$D$7:$E$7,$F$7)</f>
        <v>383.96065964504305</v>
      </c>
      <c r="G53" s="680"/>
      <c r="H53" s="706"/>
    </row>
    <row r="54" spans="1:20" x14ac:dyDescent="0.25">
      <c r="A54" s="706"/>
      <c r="B54" s="302"/>
      <c r="C54" s="359" t="s">
        <v>351</v>
      </c>
      <c r="D54" s="127">
        <f>LOOKUP(ROUNDDOWN($D$50/5, 0)*5,'2010ER'!$D$20:$D$35,'2010ER'!$H$20:$H$35)+(($D$50-ROUNDDOWN($D$50/5, 0)*5)/5)*(LOOKUP(ROUNDUP($D$50/5, 0)*5,'2010ER'!$D$20:$D$35,'2010ER'!$H$20:$H$35)-LOOKUP(ROUNDDOWN($D$50/5, 0)*5,'2010ER'!$D$20:$D$35,'2010ER'!$H$20:$H$35))</f>
        <v>0.69409750274101267</v>
      </c>
      <c r="E54" s="127">
        <f>LOOKUP(ROUNDDOWN($E$50/5, 0)*5,'2020ER'!$D$20:$D$35,'2020ER'!$H$20:$H$35)+(($E$50-ROUNDDOWN($E$50/5, 0)*5)/5)*(LOOKUP(ROUNDUP($E$50/5, 0)*5,'2020ER'!$D$20:$D$35,'2020ER'!$H$20:$H$35)-LOOKUP(ROUNDDOWN($E$50/5, 0)*5,'2020ER'!$D$20:$D$35,'2020ER'!$H$20:$H$35))</f>
        <v>0.21867390034634906</v>
      </c>
      <c r="F54" s="127">
        <f>TREND(D54:E54,$D$7:$E$7,$F$7)</f>
        <v>0.36130098106474406</v>
      </c>
      <c r="G54" s="680"/>
      <c r="H54" s="706"/>
    </row>
    <row r="55" spans="1:20" x14ac:dyDescent="0.25">
      <c r="A55" s="706"/>
      <c r="B55" s="302"/>
      <c r="C55" s="359" t="s">
        <v>377</v>
      </c>
      <c r="D55" s="127">
        <f>LOOKUP(ROUNDDOWN($D$50/5, 0)*5,'2010ER'!$D$36:$D$51,'2010ER'!$H$36:$H$51)+(($D$50-ROUNDDOWN($D$50/5, 0)*5)/5)*(LOOKUP(ROUNDUP($D$50/5, 0)*5,'2010ER'!$D$36:$D$51,'2010ER'!$H$36:$H$51)-LOOKUP(ROUNDDOWN($D$50/5, 0)*5,'2010ER'!$D$36:$D$51,'2010ER'!$H$36:$H$51))</f>
        <v>2.104185123987494E-2</v>
      </c>
      <c r="E55" s="127">
        <f>LOOKUP(ROUNDDOWN($E$50/5, 0)*5,'2020ER'!$D$36:$D$51,'2020ER'!$H$36:$H$51)+(($E$50-ROUNDDOWN($E$50/5, 0)*5)/5)*(LOOKUP(ROUNDUP($E$50/5, 0)*5,'2020ER'!$D$36:$D$51,'2020ER'!$H$36:$H$51)-LOOKUP(ROUNDDOWN($E$50/5, 0)*5,'2020ER'!$D$36:$D$51,'2020ER'!$H$36:$H$51))</f>
        <v>1.5030060046978161E-2</v>
      </c>
      <c r="F55" s="127">
        <f>TREND(D55:E55,$D$7:$E$7,$F$7)</f>
        <v>1.6833597404847245E-2</v>
      </c>
      <c r="G55" s="680"/>
      <c r="H55" s="706"/>
    </row>
    <row r="56" spans="1:20" x14ac:dyDescent="0.25">
      <c r="A56" s="706"/>
      <c r="B56" s="302"/>
      <c r="C56" s="359" t="s">
        <v>426</v>
      </c>
      <c r="D56" s="127">
        <f>LOOKUP(ROUNDDOWN($D$50/5, 0)*5,'2010ER'!$D$52:$D$67,'2010ER'!$H$52:$H$67)+(($D$50-ROUNDDOWN($D$50/5, 0)*5)/5)*(LOOKUP(ROUNDUP($D$50/5, 0)*5,'2010ER'!$D$52:$D$67,'2010ER'!$H$52:$H$67)-LOOKUP(ROUNDDOWN($D$50/5, 0)*5,'2010ER'!$D$52:$D$67,'2010ER'!$H$52:$H$67))</f>
        <v>0.70618904798045201</v>
      </c>
      <c r="E56" s="127">
        <f>LOOKUP(ROUNDDOWN($E$50/5, 0)*5,'2020ER'!$D$52:$D$67,'2020ER'!$H$52:$H$67)+(($E$50-ROUNDDOWN($E$50/5, 0)*5)/5)*(LOOKUP(ROUNDUP($E$50/5, 0)*5,'2020ER'!$D$52:$D$67,'2020ER'!$H$52:$H$67)-LOOKUP(ROUNDDOWN($E$50/5, 0)*5,'2020ER'!$D$52:$D$67,'2020ER'!$H$52:$H$67))</f>
        <v>0.22592356327611787</v>
      </c>
      <c r="F56" s="127">
        <f>TREND(D56:E56,$D$7:$E$7,$F$7)</f>
        <v>0.37000320868740744</v>
      </c>
      <c r="G56" s="680"/>
      <c r="H56" s="706"/>
      <c r="N56" s="1089"/>
      <c r="O56" s="1102"/>
      <c r="P56" s="1102"/>
      <c r="Q56" s="1102"/>
      <c r="R56" s="1102"/>
      <c r="S56" s="1102"/>
      <c r="T56" s="1102"/>
    </row>
    <row r="57" spans="1:20" x14ac:dyDescent="0.25">
      <c r="A57" s="706"/>
      <c r="B57" s="302"/>
      <c r="C57" s="359" t="s">
        <v>424</v>
      </c>
      <c r="D57" s="127">
        <f>LOOKUP(ROUNDDOWN($D$50/5, 0)*5,'2010ER'!$D$68:$D$83,'2010ER'!$H$68:$H$83)+(($D$50-ROUNDDOWN($D$50/5, 0)*5)/5)*(LOOKUP(ROUNDUP($D$50/5, 0)*5,'2010ER'!$D$68:$D$83,'2010ER'!$H$68:$H$83)-LOOKUP(ROUNDDOWN($D$50/5, 0)*5,'2010ER'!$D$68:$D$83,'2010ER'!$H$68:$H$83))</f>
        <v>0.28489058891177355</v>
      </c>
      <c r="E57" s="127">
        <f>LOOKUP(ROUNDDOWN($E$50/5, 0)*5,'2020ER'!$D$68:$D$83,'2020ER'!$H$68:$H$83)+(($E$50-ROUNDDOWN($E$50/5, 0)*5)/5)*(LOOKUP(ROUNDUP($E$50/5, 0)*5,'2020ER'!$D$68:$D$83,'2020ER'!$H$68:$H$83)-LOOKUP(ROUNDDOWN($E$50/5, 0)*5,'2020ER'!$D$68:$D$83,'2020ER'!$H$68:$H$83))</f>
        <v>9.0740004509255914E-2</v>
      </c>
      <c r="F57" s="127">
        <f>TREND(D57:E57,$D$7:$E$7,$F$7)</f>
        <v>0.14898517983001369</v>
      </c>
      <c r="G57" s="680"/>
      <c r="H57" s="706"/>
      <c r="N57" s="1089"/>
      <c r="O57" s="1102"/>
      <c r="P57" s="1102"/>
      <c r="Q57" s="1102"/>
      <c r="R57" s="1102"/>
      <c r="S57" s="1102"/>
      <c r="T57" s="1102"/>
    </row>
    <row r="58" spans="1:20" x14ac:dyDescent="0.25">
      <c r="A58" s="706"/>
      <c r="B58" s="302"/>
      <c r="C58" s="591" t="s">
        <v>406</v>
      </c>
      <c r="D58" s="690"/>
      <c r="E58" s="690"/>
      <c r="F58" s="690"/>
      <c r="G58" s="680"/>
      <c r="H58" s="706"/>
      <c r="N58" s="1089"/>
      <c r="O58" s="1102"/>
      <c r="P58" s="1102"/>
      <c r="Q58" s="1102"/>
      <c r="R58" s="1102"/>
      <c r="S58" s="1102"/>
      <c r="T58" s="1102"/>
    </row>
    <row r="59" spans="1:20" x14ac:dyDescent="0.25">
      <c r="A59" s="706"/>
      <c r="B59" s="302"/>
      <c r="C59" s="359" t="s">
        <v>348</v>
      </c>
      <c r="D59" s="127">
        <f>LOOKUP(ROUNDDOWN($D$51/5, 0)*5,'2010ER'!$D$4:$D$19,'2010ER'!$H$4:$H$19)+(($D$51-ROUNDDOWN($D$51/5, 0)*5)/5)*(LOOKUP(ROUNDUP($D$51/5, 0)*5,'2010ER'!$D$4:$D$19,'2010ER'!$H$4:$H$19)-LOOKUP(ROUNDDOWN($D$51/5, 0)*5,'2010ER'!$D$4:$D$19,'2010ER'!$H$4:$H$19))</f>
        <v>422.88645253172172</v>
      </c>
      <c r="E59" s="127">
        <f>LOOKUP(ROUNDDOWN($E$51/5, 0)*5,'2020ER'!$D$4:$D$19,'2020ER'!$H$4:$H$19)+(($E$51-ROUNDDOWN($E$51/5, 0)*5)/5)*(LOOKUP(ROUNDUP($E$51/5, 0)*5,'2020ER'!$D$4:$D$19,'2020ER'!$H$4:$H$19)-LOOKUP(ROUNDDOWN($E$51/5, 0)*5,'2020ER'!$D$4:$D$19,'2020ER'!$H$4:$H$19))</f>
        <v>360.97529483377787</v>
      </c>
      <c r="F59" s="127">
        <f>TREND(D59:E59,$D$7:$E$7,$F$7)</f>
        <v>379.54864214315967</v>
      </c>
      <c r="G59" s="680"/>
      <c r="H59" s="706"/>
      <c r="N59" s="1089"/>
      <c r="O59" s="1102"/>
      <c r="P59" s="1102"/>
      <c r="Q59" s="1102"/>
      <c r="R59" s="1102"/>
      <c r="S59" s="1102"/>
      <c r="T59" s="1102"/>
    </row>
    <row r="60" spans="1:20" x14ac:dyDescent="0.25">
      <c r="A60" s="706"/>
      <c r="B60" s="302"/>
      <c r="C60" s="359" t="s">
        <v>351</v>
      </c>
      <c r="D60" s="127">
        <f>LOOKUP(ROUNDDOWN($D$51/5, 0)*5,'2010ER'!$D$20:$D$35,'2010ER'!$H$20:$H$35)+(($D$51-ROUNDDOWN($D$51/5, 0)*5)/5)*(LOOKUP(ROUNDUP($D$51/5, 0)*5,'2010ER'!$D$20:$D$35,'2010ER'!$H$20:$H$35)-LOOKUP(ROUNDDOWN($D$51/5, 0)*5,'2010ER'!$D$20:$D$35,'2010ER'!$H$20:$H$35))</f>
        <v>0.68659177158142326</v>
      </c>
      <c r="E60" s="127">
        <f>LOOKUP(ROUNDDOWN($E$51/5, 0)*5,'2020ER'!$D$20:$D$35,'2020ER'!$H$20:$H$35)+(($E$51-ROUNDDOWN($E$51/5, 0)*5)/5)*(LOOKUP(ROUNDUP($E$51/5, 0)*5,'2020ER'!$D$20:$D$35,'2020ER'!$H$20:$H$35)-LOOKUP(ROUNDDOWN($E$51/5, 0)*5,'2020ER'!$D$20:$D$35,'2020ER'!$H$20:$H$35))</f>
        <v>0.21685723199772083</v>
      </c>
      <c r="F60" s="127">
        <f>TREND(D60:E60,$D$7:$E$7,$F$7)</f>
        <v>0.35777759387282515</v>
      </c>
      <c r="G60" s="680"/>
      <c r="H60" s="706"/>
      <c r="N60" s="1089"/>
      <c r="O60" s="1102"/>
      <c r="P60" s="1102"/>
      <c r="Q60" s="1102"/>
      <c r="R60" s="1102"/>
      <c r="S60" s="1102"/>
      <c r="T60" s="1102"/>
    </row>
    <row r="61" spans="1:20" x14ac:dyDescent="0.25">
      <c r="A61" s="706"/>
      <c r="B61" s="302"/>
      <c r="C61" s="359" t="s">
        <v>377</v>
      </c>
      <c r="D61" s="127">
        <f>LOOKUP(ROUNDDOWN($D$51/5, 0)*5,'2010ER'!$D$36:$D$51,'2010ER'!$H$36:$H$51)+(($D$51-ROUNDDOWN($D$51/5, 0)*5)/5)*(LOOKUP(ROUNDUP($D$51/5, 0)*5,'2010ER'!$D$36:$D$51,'2010ER'!$H$36:$H$51)-LOOKUP(ROUNDDOWN($D$51/5, 0)*5,'2010ER'!$D$36:$D$51,'2010ER'!$H$36:$H$51))</f>
        <v>2.0650254675804652E-2</v>
      </c>
      <c r="E61" s="127">
        <f>LOOKUP(ROUNDDOWN($E$51/5, 0)*5,'2020ER'!$D$36:$D$51,'2020ER'!$H$36:$H$51)+(($E$51-ROUNDDOWN($E$51/5, 0)*5)/5)*(LOOKUP(ROUNDUP($E$51/5, 0)*5,'2020ER'!$D$36:$D$51,'2020ER'!$H$36:$H$51)-LOOKUP(ROUNDDOWN($E$51/5, 0)*5,'2020ER'!$D$36:$D$51,'2020ER'!$H$36:$H$51))</f>
        <v>1.4733145607273906E-2</v>
      </c>
      <c r="F61" s="127">
        <f>TREND(D61:E61,$D$7:$E$7,$F$7)</f>
        <v>1.650827832783297E-2</v>
      </c>
      <c r="G61" s="680"/>
      <c r="H61" s="706"/>
      <c r="N61" s="1089"/>
      <c r="O61" s="1102"/>
      <c r="P61" s="1102"/>
      <c r="Q61" s="1102"/>
      <c r="R61" s="1102"/>
      <c r="S61" s="1102"/>
      <c r="T61" s="1102"/>
    </row>
    <row r="62" spans="1:20" x14ac:dyDescent="0.25">
      <c r="A62" s="706"/>
      <c r="B62" s="302"/>
      <c r="C62" s="359" t="s">
        <v>426</v>
      </c>
      <c r="D62" s="127">
        <f>LOOKUP(ROUNDDOWN($D$51/5, 0)*5,'2010ER'!$D$52:$D$67,'2010ER'!$H$52:$H$67)+(($D$51-ROUNDDOWN($D$51/5, 0)*5)/5)*(LOOKUP(ROUNDUP($D$51/5, 0)*5,'2010ER'!$D$52:$D$67,'2010ER'!$H$52:$H$67)-LOOKUP(ROUNDDOWN($D$51/5, 0)*5,'2010ER'!$D$52:$D$67,'2010ER'!$H$52:$H$67))</f>
        <v>0.69325479266885159</v>
      </c>
      <c r="E62" s="127">
        <f>LOOKUP(ROUNDDOWN($E$51/5, 0)*5,'2020ER'!$D$52:$D$67,'2020ER'!$H$52:$H$67)+(($E$51-ROUNDDOWN($E$51/5, 0)*5)/5)*(LOOKUP(ROUNDUP($E$51/5, 0)*5,'2020ER'!$D$52:$D$67,'2020ER'!$H$52:$H$67)-LOOKUP(ROUNDDOWN($E$51/5, 0)*5,'2020ER'!$D$52:$D$67,'2020ER'!$H$52:$H$67))</f>
        <v>0.22230679905624595</v>
      </c>
      <c r="F62" s="127">
        <f>TREND(D62:E62,$D$7:$E$7,$F$7)</f>
        <v>0.36359119714002475</v>
      </c>
      <c r="G62" s="680"/>
      <c r="H62" s="706"/>
      <c r="N62" s="1089"/>
      <c r="O62" s="1102"/>
      <c r="P62" s="1102"/>
      <c r="Q62" s="1102"/>
      <c r="R62" s="1102"/>
      <c r="S62" s="1102"/>
      <c r="T62" s="1102"/>
    </row>
    <row r="63" spans="1:20" x14ac:dyDescent="0.25">
      <c r="A63" s="706"/>
      <c r="B63" s="302"/>
      <c r="C63" s="359" t="s">
        <v>424</v>
      </c>
      <c r="D63" s="127">
        <f>LOOKUP(ROUNDDOWN($D$51/5, 0)*5,'2010ER'!$D$68:$D$83,'2010ER'!$H$68:$H$83)+(($D$51-ROUNDDOWN($D$51/5, 0)*5)/5)*(LOOKUP(ROUNDUP($D$51/5, 0)*5,'2010ER'!$D$68:$D$83,'2010ER'!$H$68:$H$83)-LOOKUP(ROUNDDOWN($D$51/5, 0)*5,'2010ER'!$D$68:$D$83,'2010ER'!$H$68:$H$83))</f>
        <v>0.28061886271256931</v>
      </c>
      <c r="E63" s="127">
        <f>LOOKUP(ROUNDDOWN($E$51/5, 0)*5,'2020ER'!$D$68:$D$83,'2020ER'!$H$68:$H$83)+(($E$51-ROUNDDOWN($E$51/5, 0)*5)/5)*(LOOKUP(ROUNDUP($E$51/5, 0)*5,'2020ER'!$D$68:$D$83,'2020ER'!$H$68:$H$83)-LOOKUP(ROUNDDOWN($E$51/5, 0)*5,'2020ER'!$D$68:$D$83,'2020ER'!$H$68:$H$83))</f>
        <v>8.9497695690428911E-2</v>
      </c>
      <c r="F63" s="127">
        <f>TREND(D63:E63,$D$7:$E$7,$F$7)</f>
        <v>0.14683404579707116</v>
      </c>
      <c r="G63" s="680"/>
      <c r="H63" s="706"/>
      <c r="N63" s="1089"/>
      <c r="O63" s="1102"/>
      <c r="P63" s="1102"/>
      <c r="Q63" s="1102"/>
      <c r="R63" s="1102"/>
      <c r="S63" s="1102"/>
      <c r="T63" s="1102"/>
    </row>
    <row r="64" spans="1:20" x14ac:dyDescent="0.25">
      <c r="A64" s="706"/>
      <c r="B64" s="302"/>
      <c r="C64" s="591" t="s">
        <v>440</v>
      </c>
      <c r="D64" s="690"/>
      <c r="E64" s="690"/>
      <c r="F64" s="690"/>
      <c r="G64" s="680"/>
      <c r="H64" s="706"/>
      <c r="N64" s="1089"/>
      <c r="O64" s="1102"/>
      <c r="P64" s="1102"/>
      <c r="Q64" s="1102"/>
      <c r="R64" s="1102"/>
      <c r="S64" s="1102"/>
      <c r="T64" s="1102"/>
    </row>
    <row r="65" spans="1:20" x14ac:dyDescent="0.25">
      <c r="A65" s="706"/>
      <c r="B65" s="302"/>
      <c r="C65" s="359" t="s">
        <v>442</v>
      </c>
      <c r="D65" s="127">
        <f t="shared" ref="D65:F69" si="1">D$8*D$10*D$31*D53</f>
        <v>0</v>
      </c>
      <c r="E65" s="127">
        <f t="shared" si="1"/>
        <v>0</v>
      </c>
      <c r="F65" s="127">
        <f t="shared" si="1"/>
        <v>1610906947.5407782</v>
      </c>
      <c r="G65" s="680"/>
      <c r="H65" s="706"/>
      <c r="N65" s="1089"/>
      <c r="O65" s="1102"/>
      <c r="P65" s="1102"/>
      <c r="Q65" s="1102"/>
      <c r="R65" s="1102"/>
      <c r="S65" s="1102"/>
      <c r="T65" s="1102"/>
    </row>
    <row r="66" spans="1:20" x14ac:dyDescent="0.25">
      <c r="A66" s="706"/>
      <c r="B66" s="302"/>
      <c r="C66" s="359" t="s">
        <v>443</v>
      </c>
      <c r="D66" s="127">
        <f t="shared" si="1"/>
        <v>0</v>
      </c>
      <c r="E66" s="127">
        <f t="shared" si="1"/>
        <v>0</v>
      </c>
      <c r="F66" s="127">
        <f t="shared" si="1"/>
        <v>1515838.2660571337</v>
      </c>
      <c r="G66" s="680"/>
      <c r="H66" s="706"/>
      <c r="N66" s="1089"/>
      <c r="O66" s="1102"/>
      <c r="P66" s="1102"/>
      <c r="Q66" s="1102"/>
      <c r="R66" s="1102"/>
      <c r="S66" s="1102"/>
      <c r="T66" s="1102"/>
    </row>
    <row r="67" spans="1:20" x14ac:dyDescent="0.25">
      <c r="A67" s="706"/>
      <c r="B67" s="302"/>
      <c r="C67" s="359" t="s">
        <v>444</v>
      </c>
      <c r="D67" s="127">
        <f t="shared" si="1"/>
        <v>0</v>
      </c>
      <c r="E67" s="127">
        <f t="shared" si="1"/>
        <v>0</v>
      </c>
      <c r="F67" s="127">
        <f t="shared" si="1"/>
        <v>70625.357912036619</v>
      </c>
      <c r="G67" s="680"/>
      <c r="H67" s="706"/>
      <c r="N67" s="1089"/>
      <c r="O67" s="1102"/>
      <c r="P67" s="1102"/>
      <c r="Q67" s="1102"/>
      <c r="R67" s="1102"/>
      <c r="S67" s="1102"/>
      <c r="T67" s="1102"/>
    </row>
    <row r="68" spans="1:20" x14ac:dyDescent="0.25">
      <c r="A68" s="706"/>
      <c r="B68" s="302"/>
      <c r="C68" s="359" t="s">
        <v>445</v>
      </c>
      <c r="D68" s="127">
        <f t="shared" si="1"/>
        <v>0</v>
      </c>
      <c r="E68" s="127">
        <f t="shared" si="1"/>
        <v>0</v>
      </c>
      <c r="F68" s="127">
        <f t="shared" si="1"/>
        <v>1552348.4620480179</v>
      </c>
      <c r="G68" s="680"/>
      <c r="H68" s="706"/>
      <c r="N68" s="1089"/>
      <c r="O68" s="1102"/>
      <c r="P68" s="1102"/>
      <c r="Q68" s="1102"/>
      <c r="R68" s="1102"/>
      <c r="S68" s="1102"/>
      <c r="T68" s="1102"/>
    </row>
    <row r="69" spans="1:20" x14ac:dyDescent="0.25">
      <c r="A69" s="706"/>
      <c r="B69" s="302"/>
      <c r="C69" s="359" t="s">
        <v>446</v>
      </c>
      <c r="D69" s="127">
        <f t="shared" si="1"/>
        <v>0</v>
      </c>
      <c r="E69" s="127">
        <f t="shared" si="1"/>
        <v>0</v>
      </c>
      <c r="F69" s="127">
        <f t="shared" si="1"/>
        <v>625067.32197682245</v>
      </c>
      <c r="G69" s="680"/>
      <c r="H69" s="706"/>
      <c r="N69" s="1089"/>
      <c r="O69" s="1102"/>
      <c r="P69" s="1102"/>
      <c r="Q69" s="1102"/>
      <c r="R69" s="1102"/>
      <c r="S69" s="1102"/>
      <c r="T69" s="1102"/>
    </row>
    <row r="70" spans="1:20" x14ac:dyDescent="0.25">
      <c r="A70" s="706"/>
      <c r="B70" s="302"/>
      <c r="C70" s="591" t="s">
        <v>441</v>
      </c>
      <c r="D70" s="690"/>
      <c r="E70" s="690"/>
      <c r="F70" s="690"/>
      <c r="G70" s="680"/>
      <c r="H70" s="706"/>
      <c r="N70" s="1089"/>
      <c r="O70" s="1102"/>
      <c r="P70" s="1102"/>
      <c r="Q70" s="1102"/>
      <c r="R70" s="1102"/>
      <c r="S70" s="1102"/>
      <c r="T70" s="1102"/>
    </row>
    <row r="71" spans="1:20" x14ac:dyDescent="0.25">
      <c r="A71" s="706"/>
      <c r="B71" s="302"/>
      <c r="C71" s="359" t="s">
        <v>442</v>
      </c>
      <c r="D71" s="127">
        <f t="shared" ref="D71:F75" si="2">(D$8*D$10*D$31-D$80)*D59</f>
        <v>0</v>
      </c>
      <c r="E71" s="127">
        <f t="shared" si="2"/>
        <v>0</v>
      </c>
      <c r="F71" s="127">
        <f t="shared" si="2"/>
        <v>1539900532.2200699</v>
      </c>
      <c r="G71" s="680"/>
      <c r="H71" s="706"/>
      <c r="N71" s="1089"/>
      <c r="O71" s="1102"/>
      <c r="P71" s="1102"/>
      <c r="Q71" s="1102"/>
      <c r="R71" s="1102"/>
      <c r="S71" s="1102"/>
      <c r="T71" s="1102"/>
    </row>
    <row r="72" spans="1:20" x14ac:dyDescent="0.25">
      <c r="A72" s="706"/>
      <c r="B72" s="302"/>
      <c r="C72" s="359" t="s">
        <v>443</v>
      </c>
      <c r="D72" s="127">
        <f t="shared" si="2"/>
        <v>0</v>
      </c>
      <c r="E72" s="127">
        <f t="shared" si="2"/>
        <v>0</v>
      </c>
      <c r="F72" s="127">
        <f t="shared" si="2"/>
        <v>1451571.2771628702</v>
      </c>
      <c r="G72" s="680"/>
      <c r="H72" s="706"/>
      <c r="N72" s="1089"/>
      <c r="O72" s="1102"/>
      <c r="P72" s="1102"/>
      <c r="Q72" s="1102"/>
      <c r="R72" s="1102"/>
      <c r="S72" s="1102"/>
      <c r="T72" s="1102"/>
    </row>
    <row r="73" spans="1:20" x14ac:dyDescent="0.25">
      <c r="A73" s="706"/>
      <c r="B73" s="302"/>
      <c r="C73" s="359" t="s">
        <v>444</v>
      </c>
      <c r="D73" s="127">
        <f t="shared" si="2"/>
        <v>0</v>
      </c>
      <c r="E73" s="127">
        <f t="shared" si="2"/>
        <v>0</v>
      </c>
      <c r="F73" s="127">
        <f t="shared" si="2"/>
        <v>66977.203342170309</v>
      </c>
      <c r="G73" s="680"/>
      <c r="H73" s="706"/>
      <c r="N73" s="1089"/>
      <c r="O73" s="1102"/>
      <c r="P73" s="1102"/>
      <c r="Q73" s="1102"/>
      <c r="R73" s="1102"/>
      <c r="S73" s="1102"/>
      <c r="T73" s="1102"/>
    </row>
    <row r="74" spans="1:20" x14ac:dyDescent="0.25">
      <c r="A74" s="706"/>
      <c r="B74" s="302"/>
      <c r="C74" s="359" t="s">
        <v>445</v>
      </c>
      <c r="D74" s="127">
        <f t="shared" si="2"/>
        <v>0</v>
      </c>
      <c r="E74" s="127">
        <f t="shared" si="2"/>
        <v>0</v>
      </c>
      <c r="F74" s="127">
        <f t="shared" si="2"/>
        <v>1475158.1637203521</v>
      </c>
      <c r="G74" s="680"/>
      <c r="H74" s="706"/>
      <c r="N74" s="1089"/>
      <c r="O74" s="1102"/>
      <c r="P74" s="1102"/>
      <c r="Q74" s="1102"/>
      <c r="R74" s="1102"/>
      <c r="S74" s="1102"/>
      <c r="T74" s="1102"/>
    </row>
    <row r="75" spans="1:20" x14ac:dyDescent="0.25">
      <c r="A75" s="706"/>
      <c r="B75" s="302"/>
      <c r="C75" s="359" t="s">
        <v>446</v>
      </c>
      <c r="D75" s="127">
        <f t="shared" si="2"/>
        <v>0</v>
      </c>
      <c r="E75" s="127">
        <f t="shared" si="2"/>
        <v>0</v>
      </c>
      <c r="F75" s="127">
        <f t="shared" si="2"/>
        <v>595733.45854745805</v>
      </c>
      <c r="G75" s="680"/>
      <c r="H75" s="706"/>
      <c r="N75" s="1089"/>
      <c r="O75" s="1102"/>
      <c r="P75" s="1102"/>
      <c r="Q75" s="1102"/>
      <c r="R75" s="1102"/>
      <c r="S75" s="1102"/>
      <c r="T75" s="1102"/>
    </row>
    <row r="76" spans="1:20" x14ac:dyDescent="0.25">
      <c r="A76" s="706"/>
      <c r="B76" s="302"/>
      <c r="C76" s="29"/>
      <c r="D76" s="685"/>
      <c r="E76" s="685"/>
      <c r="F76" s="680"/>
      <c r="G76" s="680"/>
      <c r="H76" s="706"/>
      <c r="N76" s="1089"/>
      <c r="O76" s="1102"/>
      <c r="P76" s="1102"/>
      <c r="Q76" s="1102"/>
      <c r="R76" s="1102"/>
      <c r="S76" s="1102"/>
      <c r="T76" s="1102"/>
    </row>
    <row r="77" spans="1:20" ht="15.75" x14ac:dyDescent="0.25">
      <c r="A77" s="706"/>
      <c r="B77" s="302"/>
      <c r="C77" s="1197" t="s">
        <v>701</v>
      </c>
      <c r="D77" s="1197"/>
      <c r="E77" s="1197"/>
      <c r="F77" s="1197"/>
      <c r="G77" s="680"/>
      <c r="H77" s="706"/>
      <c r="N77" s="1089"/>
      <c r="O77" s="1102"/>
      <c r="P77" s="1102"/>
      <c r="Q77" s="1102"/>
      <c r="R77" s="1102"/>
      <c r="S77" s="1102"/>
      <c r="T77" s="1102"/>
    </row>
    <row r="78" spans="1:20" ht="15.75" thickBot="1" x14ac:dyDescent="0.3">
      <c r="A78" s="706"/>
      <c r="B78" s="302"/>
      <c r="C78" s="705" t="s">
        <v>990</v>
      </c>
      <c r="D78" s="705"/>
      <c r="E78" s="705"/>
      <c r="F78" s="705"/>
      <c r="G78" s="680"/>
      <c r="H78" s="706"/>
      <c r="N78" s="1089"/>
      <c r="O78" s="1102"/>
      <c r="P78" s="1102"/>
      <c r="Q78" s="1102"/>
      <c r="R78" s="1102"/>
      <c r="S78" s="1102"/>
      <c r="T78" s="1102"/>
    </row>
    <row r="79" spans="1:20" ht="15.75" thickBot="1" x14ac:dyDescent="0.3">
      <c r="A79" s="706"/>
      <c r="B79" s="332"/>
      <c r="C79" s="710" t="s">
        <v>124</v>
      </c>
      <c r="D79" s="82">
        <f>((D48*D31*D8)-(((D8*D31)-D42)*D49))</f>
        <v>0</v>
      </c>
      <c r="E79" s="82">
        <f>((E48*E31*E8)-(((E8*E31)-E42)*E49))</f>
        <v>0</v>
      </c>
      <c r="F79" s="632">
        <f>(((F48/60)*F31*F8)-(((F8*F31)-F42)*(F49/60)))</f>
        <v>9167.3138827070361</v>
      </c>
      <c r="G79" s="197"/>
      <c r="H79" s="706"/>
      <c r="N79" s="1089"/>
      <c r="O79" s="1102"/>
      <c r="P79" s="1102"/>
      <c r="Q79" s="1102"/>
      <c r="R79" s="1102"/>
      <c r="S79" s="1102"/>
      <c r="T79" s="1102"/>
    </row>
    <row r="80" spans="1:20" ht="15.75" thickBot="1" x14ac:dyDescent="0.3">
      <c r="A80" s="706"/>
      <c r="B80" s="332"/>
      <c r="C80" s="711" t="s">
        <v>11</v>
      </c>
      <c r="D80" s="82">
        <f>(D39*D17)+(D40*D20)+D41</f>
        <v>0</v>
      </c>
      <c r="E80" s="82">
        <f>(E39*E17)+(E40*E20)+E41</f>
        <v>0</v>
      </c>
      <c r="F80" s="634">
        <f>(F39*F17)+(F40*F20)+(F41*F23)</f>
        <v>138311.11500000002</v>
      </c>
      <c r="G80" s="197"/>
      <c r="H80" s="706"/>
      <c r="N80" s="1089"/>
      <c r="O80" s="1102"/>
      <c r="P80" s="1102"/>
      <c r="Q80" s="1102"/>
      <c r="R80" s="1102"/>
      <c r="S80" s="1102"/>
      <c r="T80" s="1102"/>
    </row>
    <row r="81" spans="1:20" x14ac:dyDescent="0.25">
      <c r="A81" s="706"/>
      <c r="B81" s="302"/>
      <c r="C81" s="689"/>
      <c r="D81" s="682"/>
      <c r="E81" s="682"/>
      <c r="F81" s="682"/>
      <c r="G81" s="662"/>
      <c r="H81" s="706"/>
      <c r="N81" s="1089"/>
      <c r="O81" s="1102"/>
      <c r="P81" s="1102"/>
      <c r="Q81" s="1102"/>
      <c r="R81" s="1102"/>
      <c r="S81" s="1102"/>
      <c r="T81" s="1102"/>
    </row>
    <row r="82" spans="1:20" ht="15.75" thickBot="1" x14ac:dyDescent="0.3">
      <c r="A82" s="706"/>
      <c r="B82" s="302"/>
      <c r="C82" s="718" t="s">
        <v>724</v>
      </c>
      <c r="D82"/>
      <c r="E82"/>
      <c r="F82"/>
      <c r="G82" s="303"/>
      <c r="H82" s="706"/>
    </row>
    <row r="83" spans="1:20" x14ac:dyDescent="0.25">
      <c r="A83" s="706"/>
      <c r="B83" s="332"/>
      <c r="C83" s="802" t="s">
        <v>817</v>
      </c>
      <c r="D83" s="701">
        <f t="shared" ref="D83:F87" si="3">D65-D71</f>
        <v>0</v>
      </c>
      <c r="E83" s="701">
        <f t="shared" si="3"/>
        <v>0</v>
      </c>
      <c r="F83" s="672">
        <f>F65-F71</f>
        <v>71006415.320708275</v>
      </c>
      <c r="G83" s="667"/>
      <c r="H83" s="706"/>
    </row>
    <row r="84" spans="1:20" x14ac:dyDescent="0.25">
      <c r="A84" s="706"/>
      <c r="B84" s="332"/>
      <c r="C84" s="330" t="s">
        <v>818</v>
      </c>
      <c r="D84" s="30">
        <f t="shared" si="3"/>
        <v>0</v>
      </c>
      <c r="E84" s="30">
        <f t="shared" si="3"/>
        <v>0</v>
      </c>
      <c r="F84" s="677">
        <f t="shared" si="3"/>
        <v>64266.988894263515</v>
      </c>
      <c r="G84" s="667"/>
      <c r="H84" s="706"/>
    </row>
    <row r="85" spans="1:20" x14ac:dyDescent="0.25">
      <c r="A85" s="706"/>
      <c r="B85" s="332"/>
      <c r="C85" s="803" t="s">
        <v>819</v>
      </c>
      <c r="D85" s="30">
        <f t="shared" si="3"/>
        <v>0</v>
      </c>
      <c r="E85" s="30">
        <f t="shared" si="3"/>
        <v>0</v>
      </c>
      <c r="F85" s="677">
        <f t="shared" si="3"/>
        <v>3648.1545698663103</v>
      </c>
      <c r="G85" s="667"/>
      <c r="H85" s="706"/>
    </row>
    <row r="86" spans="1:20" x14ac:dyDescent="0.25">
      <c r="A86" s="706"/>
      <c r="B86" s="332"/>
      <c r="C86" s="803" t="s">
        <v>820</v>
      </c>
      <c r="D86" s="30">
        <f t="shared" si="3"/>
        <v>0</v>
      </c>
      <c r="E86" s="30">
        <f t="shared" si="3"/>
        <v>0</v>
      </c>
      <c r="F86" s="677">
        <f t="shared" si="3"/>
        <v>77190.298327665776</v>
      </c>
      <c r="G86" s="667"/>
      <c r="H86" s="706"/>
    </row>
    <row r="87" spans="1:20" ht="15.75" thickBot="1" x14ac:dyDescent="0.3">
      <c r="A87" s="706"/>
      <c r="B87" s="332"/>
      <c r="C87" s="330" t="s">
        <v>821</v>
      </c>
      <c r="D87" s="702">
        <f t="shared" si="3"/>
        <v>0</v>
      </c>
      <c r="E87" s="702">
        <f t="shared" si="3"/>
        <v>0</v>
      </c>
      <c r="F87" s="668">
        <f t="shared" si="3"/>
        <v>29333.863429364399</v>
      </c>
      <c r="G87" s="667"/>
      <c r="H87" s="706"/>
    </row>
    <row r="88" spans="1:20" x14ac:dyDescent="0.25">
      <c r="A88" s="706"/>
      <c r="B88" s="332"/>
      <c r="C88" s="329" t="s">
        <v>974</v>
      </c>
      <c r="D88" s="707"/>
      <c r="E88" s="704"/>
      <c r="F88" s="683">
        <f>(F83*0.00000110231)/$F$31</f>
        <v>0.31308432668867975</v>
      </c>
      <c r="G88" s="215"/>
      <c r="H88" s="706"/>
    </row>
    <row r="89" spans="1:20" x14ac:dyDescent="0.25">
      <c r="A89" s="706"/>
      <c r="B89" s="332"/>
      <c r="C89" s="330" t="s">
        <v>975</v>
      </c>
      <c r="D89" s="708"/>
      <c r="E89" s="704"/>
      <c r="F89" s="671">
        <f t="shared" ref="F89:F92" si="4">(F84*0.00000110231)/$F$31</f>
        <v>2.8336857811214251E-4</v>
      </c>
      <c r="G89" s="215"/>
      <c r="H89" s="706"/>
    </row>
    <row r="90" spans="1:20" x14ac:dyDescent="0.25">
      <c r="A90" s="706"/>
      <c r="B90" s="332"/>
      <c r="C90" s="330" t="s">
        <v>976</v>
      </c>
      <c r="D90" s="708"/>
      <c r="E90" s="704"/>
      <c r="F90" s="671">
        <f t="shared" si="4"/>
        <v>1.6085589055637333E-5</v>
      </c>
      <c r="G90" s="302"/>
      <c r="H90" s="706"/>
    </row>
    <row r="91" spans="1:20" x14ac:dyDescent="0.25">
      <c r="A91" s="706"/>
      <c r="B91" s="332"/>
      <c r="C91" s="330" t="s">
        <v>977</v>
      </c>
      <c r="D91" s="708"/>
      <c r="E91" s="704"/>
      <c r="F91" s="671">
        <f t="shared" si="4"/>
        <v>3.4035055099827707E-4</v>
      </c>
      <c r="G91" s="302"/>
      <c r="H91" s="706"/>
      <c r="P91" s="1086"/>
      <c r="Q91" s="1086"/>
      <c r="R91" s="1086"/>
      <c r="S91" s="1086"/>
    </row>
    <row r="92" spans="1:20" ht="15.75" thickBot="1" x14ac:dyDescent="0.3">
      <c r="A92" s="706"/>
      <c r="B92" s="332"/>
      <c r="C92" s="331" t="s">
        <v>978</v>
      </c>
      <c r="D92" s="709"/>
      <c r="E92" s="527"/>
      <c r="F92" s="491">
        <f t="shared" si="4"/>
        <v>1.2934004398729068E-4</v>
      </c>
      <c r="G92" s="302"/>
      <c r="H92" s="706"/>
      <c r="P92" s="1098"/>
      <c r="Q92" s="1103"/>
      <c r="R92" s="1099"/>
      <c r="S92" s="1099"/>
    </row>
    <row r="93" spans="1:20" ht="9" customHeight="1" x14ac:dyDescent="0.25">
      <c r="A93" s="706"/>
      <c r="B93" s="302"/>
      <c r="C93" s="5"/>
      <c r="D93"/>
      <c r="E93"/>
      <c r="F93"/>
      <c r="G93" s="302"/>
      <c r="H93" s="706"/>
      <c r="Q93" s="1100"/>
      <c r="R93" s="1100"/>
      <c r="S93" s="1100"/>
    </row>
    <row r="94" spans="1:20" ht="12" customHeight="1" x14ac:dyDescent="0.25">
      <c r="A94" s="706"/>
      <c r="B94" s="706"/>
      <c r="C94" s="706"/>
      <c r="D94" s="706"/>
      <c r="E94" s="706"/>
      <c r="F94" s="706"/>
      <c r="G94" s="706"/>
      <c r="H94" s="706"/>
      <c r="Q94" s="1100"/>
      <c r="R94" s="1100"/>
      <c r="S94" s="1100"/>
    </row>
    <row r="95" spans="1:20" x14ac:dyDescent="0.25">
      <c r="I95" s="1086"/>
      <c r="Q95" s="1101"/>
      <c r="R95" s="1102"/>
      <c r="S95" s="1101"/>
    </row>
    <row r="96" spans="1:20" x14ac:dyDescent="0.25">
      <c r="Q96" s="1101"/>
      <c r="R96" s="1102"/>
      <c r="S96" s="1101"/>
    </row>
    <row r="97" spans="10:19" x14ac:dyDescent="0.25">
      <c r="Q97" s="1101"/>
      <c r="R97" s="1102"/>
      <c r="S97" s="1101"/>
    </row>
    <row r="98" spans="10:19" x14ac:dyDescent="0.25">
      <c r="Q98" s="1101"/>
      <c r="R98" s="1102"/>
      <c r="S98" s="1101"/>
    </row>
    <row r="99" spans="10:19" x14ac:dyDescent="0.25">
      <c r="J99" s="1086"/>
      <c r="K99" s="1086"/>
      <c r="L99" s="1086"/>
      <c r="Q99" s="1101"/>
      <c r="R99" s="1102"/>
      <c r="S99" s="1101"/>
    </row>
    <row r="100" spans="10:19" x14ac:dyDescent="0.25">
      <c r="M100" s="1086"/>
      <c r="N100" s="1086"/>
      <c r="O100" s="1086"/>
      <c r="P100" s="1086"/>
      <c r="Q100" s="1086"/>
      <c r="R100" s="1086"/>
      <c r="S100" s="1086"/>
    </row>
  </sheetData>
  <mergeCells count="6">
    <mergeCell ref="C77:F77"/>
    <mergeCell ref="C2:F2"/>
    <mergeCell ref="C3:F3"/>
    <mergeCell ref="C5:F5"/>
    <mergeCell ref="C27:F27"/>
    <mergeCell ref="C37:F37"/>
  </mergeCells>
  <dataValidations disablePrompts="1" count="2">
    <dataValidation type="list" allowBlank="1" showInputMessage="1" showErrorMessage="1" sqref="E7">
      <formula1>$AA$4:$AA$23</formula1>
    </dataValidation>
    <dataValidation type="list" allowBlank="1" showInputMessage="1" showErrorMessage="1" sqref="G6">
      <formula1>$Y$3:$Y$12</formula1>
    </dataValidation>
  </dataValidations>
  <pageMargins left="0.7" right="0.7" top="0.75" bottom="0.75" header="0.3" footer="0.3"/>
  <pageSetup orientation="portrait" r:id="rId1"/>
  <ignoredErrors>
    <ignoredError sqref="E79" evalError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OtherVariables!$I$121:$I$131</xm:f>
          </x14:formula1>
          <xm:sqref>F7</xm:sqref>
        </x14:dataValidation>
        <x14:dataValidation type="list" allowBlank="1" showInputMessage="1" showErrorMessage="1">
          <x14:formula1>
            <xm:f>OtherVariables!$B$260:$B$263</xm:f>
          </x14:formula1>
          <xm:sqref>F14:G14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B100"/>
  <sheetViews>
    <sheetView showGridLines="0" zoomScale="80" zoomScaleNormal="80" workbookViewId="0">
      <selection activeCell="C10" sqref="C10"/>
    </sheetView>
  </sheetViews>
  <sheetFormatPr defaultRowHeight="15" x14ac:dyDescent="0.25"/>
  <cols>
    <col min="1" max="1" width="2.5703125" style="294" customWidth="1"/>
    <col min="2" max="2" width="2.140625" style="294" customWidth="1"/>
    <col min="3" max="3" width="80.5703125" style="692" customWidth="1"/>
    <col min="4" max="5" width="16.42578125" style="294" hidden="1" customWidth="1"/>
    <col min="6" max="6" width="24.28515625" style="294" bestFit="1" customWidth="1"/>
    <col min="7" max="7" width="2" style="294" customWidth="1"/>
    <col min="8" max="8" width="2.28515625" style="294" customWidth="1"/>
    <col min="9" max="9" width="35.7109375" style="744" bestFit="1" customWidth="1"/>
    <col min="10" max="11" width="10.140625" style="744" customWidth="1"/>
    <col min="12" max="12" width="10" style="744" customWidth="1"/>
    <col min="13" max="15" width="9.140625" style="744"/>
    <col min="16" max="16" width="9.7109375" style="744" bestFit="1" customWidth="1"/>
    <col min="17" max="25" width="9.140625" style="744"/>
    <col min="26" max="27" width="9.140625" style="445"/>
    <col min="28" max="28" width="20.42578125" style="445" bestFit="1" customWidth="1"/>
    <col min="29" max="16384" width="9.140625" style="445"/>
  </cols>
  <sheetData>
    <row r="1" spans="1:28" ht="12.75" customHeight="1" x14ac:dyDescent="0.25">
      <c r="A1" s="741"/>
      <c r="B1" s="741"/>
      <c r="C1" s="741"/>
      <c r="D1" s="741"/>
      <c r="E1" s="741"/>
      <c r="F1" s="741"/>
      <c r="G1" s="741"/>
      <c r="H1" s="741"/>
    </row>
    <row r="2" spans="1:28" ht="10.5" customHeight="1" x14ac:dyDescent="0.25">
      <c r="A2" s="741"/>
      <c r="B2" s="739"/>
      <c r="C2" s="1198"/>
      <c r="D2" s="1198"/>
      <c r="E2" s="1198"/>
      <c r="F2" s="1198"/>
      <c r="G2" s="739"/>
      <c r="H2" s="741"/>
    </row>
    <row r="3" spans="1:28" ht="26.25" x14ac:dyDescent="0.25">
      <c r="A3" s="741"/>
      <c r="B3" s="302"/>
      <c r="C3" s="1199" t="s">
        <v>792</v>
      </c>
      <c r="D3" s="1199"/>
      <c r="E3" s="1199"/>
      <c r="F3" s="1199"/>
      <c r="G3" s="480"/>
      <c r="H3" s="741"/>
    </row>
    <row r="4" spans="1:28" x14ac:dyDescent="0.25">
      <c r="A4" s="741"/>
      <c r="B4" s="302"/>
      <c r="C4" s="5"/>
      <c r="D4"/>
      <c r="E4"/>
      <c r="F4"/>
      <c r="G4" s="303"/>
      <c r="H4" s="741"/>
      <c r="AB4" s="987"/>
    </row>
    <row r="5" spans="1:28" ht="15.75" x14ac:dyDescent="0.25">
      <c r="A5" s="741"/>
      <c r="B5" s="302"/>
      <c r="C5" s="1200" t="s">
        <v>703</v>
      </c>
      <c r="D5" s="1200"/>
      <c r="E5" s="1200"/>
      <c r="F5" s="1200"/>
      <c r="G5" s="229"/>
      <c r="H5" s="741"/>
      <c r="AB5" s="987"/>
    </row>
    <row r="6" spans="1:28" ht="15.75" x14ac:dyDescent="0.25">
      <c r="A6" s="741"/>
      <c r="B6" s="302"/>
      <c r="C6" s="696" t="s">
        <v>711</v>
      </c>
      <c r="D6" s="699"/>
      <c r="E6" s="704"/>
      <c r="F6" s="696" t="s">
        <v>720</v>
      </c>
      <c r="G6" s="391"/>
      <c r="H6" s="741"/>
      <c r="AB6" s="987"/>
    </row>
    <row r="7" spans="1:28" x14ac:dyDescent="0.25">
      <c r="A7" s="741"/>
      <c r="B7" s="302"/>
      <c r="C7" s="338" t="s">
        <v>726</v>
      </c>
      <c r="D7" s="200">
        <v>2010</v>
      </c>
      <c r="E7" s="200">
        <v>2020</v>
      </c>
      <c r="F7" s="129">
        <v>2017</v>
      </c>
      <c r="G7" s="493"/>
      <c r="H7" s="741"/>
      <c r="AB7" s="987"/>
    </row>
    <row r="8" spans="1:28" x14ac:dyDescent="0.25">
      <c r="A8" s="741"/>
      <c r="B8" s="302"/>
      <c r="C8" s="974" t="s">
        <v>791</v>
      </c>
      <c r="D8" s="49"/>
      <c r="E8" s="49"/>
      <c r="F8" s="49"/>
      <c r="G8" s="684"/>
      <c r="H8" s="741"/>
      <c r="AB8" s="987"/>
    </row>
    <row r="9" spans="1:28" x14ac:dyDescent="0.25">
      <c r="A9" s="741"/>
      <c r="B9" s="302"/>
      <c r="C9" s="623" t="s">
        <v>190</v>
      </c>
      <c r="D9" s="49"/>
      <c r="E9" s="49"/>
      <c r="F9" s="49"/>
      <c r="G9" s="684"/>
      <c r="H9" s="741"/>
      <c r="AB9" s="987"/>
    </row>
    <row r="10" spans="1:28" x14ac:dyDescent="0.25">
      <c r="A10" s="741"/>
      <c r="B10" s="302"/>
      <c r="C10" s="623" t="s">
        <v>195</v>
      </c>
      <c r="D10" s="49"/>
      <c r="E10" s="49"/>
      <c r="F10" s="49"/>
      <c r="G10" s="684"/>
      <c r="H10" s="741"/>
      <c r="AB10" s="987"/>
    </row>
    <row r="11" spans="1:28" x14ac:dyDescent="0.25">
      <c r="A11" s="741"/>
      <c r="B11" s="302"/>
      <c r="C11" s="974" t="s">
        <v>363</v>
      </c>
      <c r="D11" s="49"/>
      <c r="E11" s="49"/>
      <c r="F11" s="51"/>
      <c r="G11" s="493"/>
      <c r="H11" s="741"/>
      <c r="AB11" s="987"/>
    </row>
    <row r="12" spans="1:28" x14ac:dyDescent="0.25">
      <c r="A12" s="741"/>
      <c r="B12" s="302"/>
      <c r="C12" s="623" t="s">
        <v>26</v>
      </c>
      <c r="D12" s="49"/>
      <c r="E12" s="49"/>
      <c r="F12" s="54"/>
      <c r="G12" s="628"/>
      <c r="H12" s="741"/>
      <c r="J12" s="1086"/>
      <c r="K12" s="1086"/>
      <c r="L12" s="1086"/>
    </row>
    <row r="13" spans="1:28" x14ac:dyDescent="0.25">
      <c r="A13" s="741"/>
      <c r="B13" s="302"/>
      <c r="C13" s="623" t="s">
        <v>27</v>
      </c>
      <c r="D13" s="49"/>
      <c r="E13" s="49"/>
      <c r="F13" s="51"/>
      <c r="G13" s="493"/>
      <c r="H13" s="741"/>
      <c r="J13" s="1086"/>
      <c r="K13" s="1085"/>
      <c r="L13" s="1086"/>
    </row>
    <row r="14" spans="1:28" x14ac:dyDescent="0.25">
      <c r="A14" s="741"/>
      <c r="B14" s="302"/>
      <c r="C14" s="1249" t="s">
        <v>358</v>
      </c>
      <c r="D14" s="1249"/>
      <c r="E14" s="1249"/>
      <c r="F14" s="1249"/>
      <c r="G14" s="979"/>
      <c r="H14" s="741"/>
      <c r="J14" s="1086"/>
      <c r="K14" s="1085"/>
      <c r="L14" s="1086"/>
    </row>
    <row r="15" spans="1:28" x14ac:dyDescent="0.25">
      <c r="A15" s="741"/>
      <c r="B15" s="302"/>
      <c r="C15" s="974" t="s">
        <v>789</v>
      </c>
      <c r="D15" s="49">
        <f>F15</f>
        <v>500</v>
      </c>
      <c r="E15" s="49">
        <f>F15</f>
        <v>500</v>
      </c>
      <c r="F15" s="49">
        <v>500</v>
      </c>
      <c r="G15" s="684"/>
      <c r="H15" s="741"/>
      <c r="AB15" s="987"/>
    </row>
    <row r="16" spans="1:28" x14ac:dyDescent="0.25">
      <c r="A16" s="741"/>
      <c r="B16" s="302"/>
      <c r="C16" s="974" t="s">
        <v>790</v>
      </c>
      <c r="D16" s="49">
        <f>F16</f>
        <v>100</v>
      </c>
      <c r="E16" s="49">
        <f>F16</f>
        <v>100</v>
      </c>
      <c r="F16" s="49">
        <v>100</v>
      </c>
      <c r="G16" s="684"/>
      <c r="H16" s="741"/>
      <c r="AB16" s="987"/>
    </row>
    <row r="17" spans="1:28" x14ac:dyDescent="0.25">
      <c r="A17" s="741"/>
      <c r="B17" s="302"/>
      <c r="C17" s="696" t="s">
        <v>369</v>
      </c>
      <c r="D17" s="391"/>
      <c r="E17" s="391"/>
      <c r="F17" s="391"/>
      <c r="G17" s="391"/>
      <c r="H17" s="741"/>
      <c r="J17" s="1086"/>
      <c r="AB17" s="987"/>
    </row>
    <row r="18" spans="1:28" x14ac:dyDescent="0.25">
      <c r="A18" s="741"/>
      <c r="B18" s="302"/>
      <c r="C18" s="351" t="s">
        <v>371</v>
      </c>
      <c r="D18" s="54"/>
      <c r="E18" s="54"/>
      <c r="F18" s="54" t="s">
        <v>21</v>
      </c>
      <c r="G18" s="628"/>
      <c r="H18" s="741"/>
      <c r="AB18" s="987"/>
    </row>
    <row r="19" spans="1:28" x14ac:dyDescent="0.25">
      <c r="A19" s="741"/>
      <c r="B19" s="302"/>
      <c r="C19" s="351" t="s">
        <v>979</v>
      </c>
      <c r="D19" s="53"/>
      <c r="E19" s="53"/>
      <c r="F19" s="53">
        <v>1.8</v>
      </c>
      <c r="G19" s="665"/>
      <c r="H19" s="741"/>
      <c r="AB19" s="987"/>
    </row>
    <row r="20" spans="1:28" x14ac:dyDescent="0.25">
      <c r="A20" s="741"/>
      <c r="B20" s="302"/>
      <c r="C20" s="696" t="s">
        <v>370</v>
      </c>
      <c r="D20" s="391"/>
      <c r="E20" s="391"/>
      <c r="F20" s="391"/>
      <c r="G20" s="391"/>
      <c r="H20" s="741"/>
      <c r="I20" s="1133"/>
      <c r="J20" s="1086"/>
      <c r="AB20" s="987"/>
    </row>
    <row r="21" spans="1:28" x14ac:dyDescent="0.25">
      <c r="A21" s="741"/>
      <c r="B21" s="302"/>
      <c r="C21" s="351" t="s">
        <v>989</v>
      </c>
      <c r="D21" s="54"/>
      <c r="E21" s="54"/>
      <c r="F21" s="54" t="s">
        <v>21</v>
      </c>
      <c r="G21" s="628"/>
      <c r="H21" s="741"/>
      <c r="AB21" s="987"/>
    </row>
    <row r="22" spans="1:28" x14ac:dyDescent="0.25">
      <c r="A22" s="741"/>
      <c r="B22" s="302"/>
      <c r="C22" s="351" t="s">
        <v>980</v>
      </c>
      <c r="D22" s="53"/>
      <c r="E22" s="53"/>
      <c r="F22" s="53">
        <v>0.98</v>
      </c>
      <c r="G22" s="665"/>
      <c r="H22" s="741"/>
      <c r="AB22" s="987"/>
    </row>
    <row r="23" spans="1:28" ht="6.75" customHeight="1" x14ac:dyDescent="0.25">
      <c r="A23" s="741"/>
      <c r="B23" s="302"/>
      <c r="C23" s="351"/>
      <c r="D23" s="351"/>
      <c r="E23" s="351"/>
      <c r="F23" s="351"/>
      <c r="G23" s="224"/>
      <c r="H23" s="741"/>
      <c r="J23" s="1086"/>
      <c r="AB23" s="987"/>
    </row>
    <row r="24" spans="1:28" x14ac:dyDescent="0.25">
      <c r="A24" s="741"/>
      <c r="B24" s="302"/>
      <c r="C24" s="974" t="s">
        <v>24</v>
      </c>
      <c r="D24" s="50"/>
      <c r="E24" s="50"/>
      <c r="F24" s="50">
        <v>2</v>
      </c>
      <c r="G24" s="686"/>
      <c r="H24" s="741"/>
      <c r="K24" s="1085"/>
      <c r="L24" s="1086"/>
    </row>
    <row r="25" spans="1:28" x14ac:dyDescent="0.25">
      <c r="A25" s="741"/>
      <c r="B25" s="302"/>
      <c r="C25" s="9"/>
      <c r="D25" s="10"/>
      <c r="E25" s="10"/>
      <c r="F25" s="10"/>
      <c r="G25" s="10"/>
      <c r="H25" s="741"/>
      <c r="K25" s="1085"/>
      <c r="L25" s="1086"/>
    </row>
    <row r="26" spans="1:28" ht="15.75" x14ac:dyDescent="0.25">
      <c r="A26" s="741"/>
      <c r="B26" s="302"/>
      <c r="C26" s="1200" t="s">
        <v>702</v>
      </c>
      <c r="D26" s="1200"/>
      <c r="E26" s="1200"/>
      <c r="F26" s="1200"/>
      <c r="G26" s="10"/>
      <c r="H26" s="741"/>
      <c r="L26" s="1087"/>
      <c r="M26" s="1088"/>
    </row>
    <row r="27" spans="1:28" x14ac:dyDescent="0.25">
      <c r="A27" s="741"/>
      <c r="B27" s="302"/>
      <c r="C27" s="975" t="s">
        <v>1</v>
      </c>
      <c r="D27" s="303"/>
      <c r="E27" s="303"/>
      <c r="F27" s="303"/>
      <c r="G27" s="304"/>
      <c r="H27" s="741"/>
      <c r="L27" s="1087"/>
      <c r="M27" s="1088"/>
    </row>
    <row r="28" spans="1:28" x14ac:dyDescent="0.25">
      <c r="A28" s="741"/>
      <c r="B28" s="302"/>
      <c r="C28" s="338" t="s">
        <v>12</v>
      </c>
      <c r="D28" s="13"/>
      <c r="E28" s="13"/>
      <c r="F28" s="13">
        <f>IF(F11&gt;3,IF(F11&gt;6,OtherVariables!$C$300,OtherVariables!$C$299),OtherVariables!$C$298)</f>
        <v>5.0000000000000001E-4</v>
      </c>
      <c r="G28" s="636"/>
      <c r="H28" s="741"/>
    </row>
    <row r="29" spans="1:28" x14ac:dyDescent="0.25">
      <c r="A29" s="741"/>
      <c r="B29" s="302"/>
      <c r="C29" s="338" t="s">
        <v>10</v>
      </c>
      <c r="D29" s="13"/>
      <c r="E29" s="13"/>
      <c r="F29" s="13">
        <f>IF(F12="N",INDEX(OtherVariables!$B$290:$E$292,IF(F8&lt;OtherVariables!$B$290,1,IF(F8&lt;OtherVariables!$B$291,2,3)),IF(F24&lt;1,2,IF(F24&lt;2,3,4))),INDEX(OtherVariables!$H$290:$K$292,IF(F8&lt;OtherVariables!$B$290,1,IF(F8&lt;OtherVariables!$B$291,2,3)),IF(F24&lt;1,2,IF(F24&lt;2,3,4))))</f>
        <v>2.07E-2</v>
      </c>
      <c r="G29" s="636"/>
      <c r="H29" s="741"/>
    </row>
    <row r="30" spans="1:28" x14ac:dyDescent="0.25">
      <c r="A30" s="741"/>
      <c r="B30" s="302"/>
      <c r="C30" s="444" t="s">
        <v>73</v>
      </c>
      <c r="D30" s="23"/>
      <c r="E30" s="23"/>
      <c r="F30" s="23">
        <v>250</v>
      </c>
      <c r="G30" s="664"/>
      <c r="H30" s="741"/>
    </row>
    <row r="31" spans="1:28" x14ac:dyDescent="0.25">
      <c r="A31" s="741"/>
      <c r="B31" s="302"/>
      <c r="C31" s="444" t="s">
        <v>191</v>
      </c>
      <c r="D31" s="61"/>
      <c r="E31" s="61"/>
      <c r="F31" s="61">
        <v>0.1</v>
      </c>
      <c r="G31" s="633"/>
      <c r="H31" s="741"/>
    </row>
    <row r="32" spans="1:28" x14ac:dyDescent="0.25">
      <c r="A32" s="741"/>
      <c r="B32" s="302"/>
      <c r="C32" s="444" t="s">
        <v>375</v>
      </c>
      <c r="D32" s="203"/>
      <c r="E32" s="203"/>
      <c r="F32" s="203">
        <v>0.71</v>
      </c>
      <c r="G32" s="674"/>
      <c r="H32" s="741"/>
    </row>
    <row r="33" spans="1:8" x14ac:dyDescent="0.25">
      <c r="A33" s="741"/>
      <c r="B33" s="302"/>
      <c r="C33" s="444" t="s">
        <v>376</v>
      </c>
      <c r="D33" s="203"/>
      <c r="E33" s="203"/>
      <c r="F33" s="203">
        <v>2.1</v>
      </c>
      <c r="G33" s="674"/>
      <c r="H33" s="741"/>
    </row>
    <row r="34" spans="1:8" x14ac:dyDescent="0.25">
      <c r="A34" s="741"/>
      <c r="B34" s="302"/>
      <c r="C34" s="444" t="s">
        <v>785</v>
      </c>
      <c r="D34" s="977"/>
      <c r="E34" s="977"/>
      <c r="F34" s="977">
        <v>0.11</v>
      </c>
      <c r="G34" s="980"/>
      <c r="H34" s="741"/>
    </row>
    <row r="35" spans="1:8" x14ac:dyDescent="0.25">
      <c r="A35" s="741"/>
      <c r="B35" s="302"/>
      <c r="C35" s="444" t="s">
        <v>786</v>
      </c>
      <c r="D35" s="977"/>
      <c r="E35" s="977"/>
      <c r="F35" s="977">
        <v>0.08</v>
      </c>
      <c r="G35" s="980"/>
      <c r="H35" s="741"/>
    </row>
    <row r="36" spans="1:8" x14ac:dyDescent="0.25">
      <c r="A36" s="741"/>
      <c r="B36" s="302"/>
      <c r="C36" s="975" t="s">
        <v>541</v>
      </c>
      <c r="D36" s="303"/>
      <c r="E36" s="303"/>
      <c r="F36" s="303"/>
      <c r="G36" s="636"/>
      <c r="H36" s="741"/>
    </row>
    <row r="37" spans="1:8" x14ac:dyDescent="0.25">
      <c r="A37" s="741"/>
      <c r="B37" s="302"/>
      <c r="C37" s="379" t="s">
        <v>536</v>
      </c>
      <c r="D37" s="201">
        <f>'2010ER'!I11</f>
        <v>399.0632574243163</v>
      </c>
      <c r="E37" s="201">
        <f>'2020ER'!I11</f>
        <v>341.41853931409429</v>
      </c>
      <c r="F37" s="173">
        <f>TREND(D37:E37,$D$7:$E$7,$F$7)</f>
        <v>358.71195474716114</v>
      </c>
      <c r="G37" s="981"/>
      <c r="H37" s="741"/>
    </row>
    <row r="38" spans="1:8" x14ac:dyDescent="0.25">
      <c r="A38" s="741"/>
      <c r="B38" s="302"/>
      <c r="C38" s="379" t="s">
        <v>537</v>
      </c>
      <c r="D38" s="201">
        <f>'2010ER'!I27</f>
        <v>0.66317418612440482</v>
      </c>
      <c r="E38" s="201">
        <f>'2020ER'!I27</f>
        <v>0.21441608708446888</v>
      </c>
      <c r="F38" s="173">
        <f t="shared" ref="F38:F41" si="0">TREND(D38:E38,$D$7:$E$7,$F$7)</f>
        <v>0.34904351679645629</v>
      </c>
      <c r="G38" s="981"/>
      <c r="H38" s="741"/>
    </row>
    <row r="39" spans="1:8" x14ac:dyDescent="0.25">
      <c r="A39" s="741"/>
      <c r="B39" s="302"/>
      <c r="C39" s="379" t="s">
        <v>538</v>
      </c>
      <c r="D39" s="201">
        <f>'2010ER'!I43</f>
        <v>1.9379311111124203E-2</v>
      </c>
      <c r="E39" s="201">
        <f>'2020ER'!I43</f>
        <v>1.310035453112551E-2</v>
      </c>
      <c r="F39" s="173">
        <f t="shared" si="0"/>
        <v>1.4984041505125223E-2</v>
      </c>
      <c r="G39" s="981"/>
      <c r="H39" s="741"/>
    </row>
    <row r="40" spans="1:8" x14ac:dyDescent="0.25">
      <c r="A40" s="741"/>
      <c r="B40" s="302"/>
      <c r="C40" s="379" t="s">
        <v>539</v>
      </c>
      <c r="D40" s="201">
        <f>'2010ER'!I59</f>
        <v>0.63634670338630683</v>
      </c>
      <c r="E40" s="201">
        <f>'2020ER'!I59</f>
        <v>0.2086373836848078</v>
      </c>
      <c r="F40" s="173">
        <f t="shared" si="0"/>
        <v>0.33695017959524876</v>
      </c>
      <c r="G40" s="981"/>
      <c r="H40" s="741"/>
    </row>
    <row r="41" spans="1:8" x14ac:dyDescent="0.25">
      <c r="A41" s="741"/>
      <c r="B41" s="302"/>
      <c r="C41" s="379" t="s">
        <v>540</v>
      </c>
      <c r="D41" s="201">
        <f>'2010ER'!I75</f>
        <v>0.24536793067196902</v>
      </c>
      <c r="E41" s="201">
        <f>'2020ER'!I75</f>
        <v>7.8435627739216918E-2</v>
      </c>
      <c r="F41" s="173">
        <f t="shared" si="0"/>
        <v>0.12851531861903709</v>
      </c>
      <c r="G41" s="981"/>
      <c r="H41" s="741"/>
    </row>
    <row r="42" spans="1:8" x14ac:dyDescent="0.25">
      <c r="A42" s="741"/>
      <c r="B42" s="303"/>
      <c r="C42" s="590"/>
      <c r="D42" s="251"/>
      <c r="E42" s="251"/>
      <c r="F42" s="981"/>
      <c r="G42" s="981"/>
      <c r="H42" s="741"/>
    </row>
    <row r="43" spans="1:8" ht="15.75" x14ac:dyDescent="0.25">
      <c r="A43" s="741"/>
      <c r="B43" s="302"/>
      <c r="C43" s="1200" t="s">
        <v>700</v>
      </c>
      <c r="D43" s="1200"/>
      <c r="E43" s="1200"/>
      <c r="F43" s="1200"/>
      <c r="G43" s="16"/>
      <c r="H43" s="741"/>
    </row>
    <row r="44" spans="1:8" ht="15.75" x14ac:dyDescent="0.25">
      <c r="A44" s="741"/>
      <c r="B44" s="302"/>
      <c r="C44" s="700" t="s">
        <v>711</v>
      </c>
      <c r="D44" s="699"/>
      <c r="E44" s="704"/>
      <c r="F44" s="700" t="s">
        <v>710</v>
      </c>
      <c r="G44" s="304"/>
      <c r="H44" s="741"/>
    </row>
    <row r="45" spans="1:8" x14ac:dyDescent="0.25">
      <c r="A45" s="741"/>
      <c r="B45" s="302"/>
      <c r="C45" s="444" t="s">
        <v>982</v>
      </c>
      <c r="D45" s="18"/>
      <c r="E45" s="18"/>
      <c r="F45" s="18" t="str">
        <f>IF(F15&gt;0,"",IF(F18="Y",(F30*F8*(F28+F29)), 0))</f>
        <v/>
      </c>
      <c r="G45" s="32"/>
      <c r="H45" s="741"/>
    </row>
    <row r="46" spans="1:8" x14ac:dyDescent="0.25">
      <c r="A46" s="741"/>
      <c r="B46" s="302"/>
      <c r="C46" s="444" t="s">
        <v>985</v>
      </c>
      <c r="D46" s="18"/>
      <c r="E46" s="18"/>
      <c r="F46" s="18" t="str">
        <f>IF(F15&gt;0,"",IF(F21="Y",(F8*(F28+F29))*F30,0))</f>
        <v/>
      </c>
      <c r="G46" s="32"/>
      <c r="H46" s="741"/>
    </row>
    <row r="47" spans="1:8" x14ac:dyDescent="0.25">
      <c r="A47" s="741"/>
      <c r="B47" s="302"/>
      <c r="C47" s="444" t="s">
        <v>983</v>
      </c>
      <c r="D47" s="18"/>
      <c r="E47" s="18"/>
      <c r="F47" s="18">
        <f>IF(F15&gt;0,((F15*F34)+(F16*F35))*F30,SUM(F45:F46))</f>
        <v>15750</v>
      </c>
      <c r="G47" s="32"/>
      <c r="H47" s="741"/>
    </row>
    <row r="48" spans="1:8" x14ac:dyDescent="0.25">
      <c r="A48" s="741"/>
      <c r="B48" s="302"/>
      <c r="C48" s="444" t="s">
        <v>984</v>
      </c>
      <c r="D48" s="18"/>
      <c r="E48" s="18"/>
      <c r="F48" s="18">
        <f>F47/F30</f>
        <v>63</v>
      </c>
      <c r="G48" s="32"/>
      <c r="H48" s="741"/>
    </row>
    <row r="49" spans="1:20" x14ac:dyDescent="0.25">
      <c r="A49" s="741"/>
      <c r="B49" s="302"/>
      <c r="C49" s="444" t="s">
        <v>193</v>
      </c>
      <c r="D49" s="18"/>
      <c r="E49" s="18"/>
      <c r="F49" s="18">
        <f>F48*F31</f>
        <v>6.3000000000000007</v>
      </c>
      <c r="G49" s="32"/>
      <c r="H49" s="741"/>
    </row>
    <row r="50" spans="1:20" x14ac:dyDescent="0.25">
      <c r="A50" s="741"/>
      <c r="B50" s="302"/>
      <c r="C50" s="444" t="s">
        <v>196</v>
      </c>
      <c r="D50" s="126"/>
      <c r="E50" s="126"/>
      <c r="F50" s="126" t="str">
        <f>IF(F15&gt;0,"",F24*60/F10)</f>
        <v/>
      </c>
      <c r="G50" s="663"/>
      <c r="H50" s="741"/>
    </row>
    <row r="51" spans="1:20" x14ac:dyDescent="0.25">
      <c r="A51" s="741"/>
      <c r="B51" s="302"/>
      <c r="C51" s="444" t="s">
        <v>192</v>
      </c>
      <c r="D51" s="125"/>
      <c r="E51" s="125"/>
      <c r="F51" s="125" t="str">
        <f>IF(F$15&gt;0,"",(F8*F31)/F9)</f>
        <v/>
      </c>
      <c r="G51" s="675"/>
      <c r="H51" s="741"/>
    </row>
    <row r="52" spans="1:20" x14ac:dyDescent="0.25">
      <c r="A52" s="741"/>
      <c r="B52" s="302"/>
      <c r="C52" s="444" t="s">
        <v>194</v>
      </c>
      <c r="D52" s="21"/>
      <c r="E52" s="21"/>
      <c r="F52" s="21" t="str">
        <f>IF(F$15&gt;0,"",((F8*F31)-F49)/F9)</f>
        <v/>
      </c>
      <c r="G52" s="676"/>
      <c r="H52" s="741"/>
    </row>
    <row r="53" spans="1:20" x14ac:dyDescent="0.25">
      <c r="A53" s="741"/>
      <c r="B53" s="302"/>
      <c r="C53" s="444" t="s">
        <v>408</v>
      </c>
      <c r="D53" s="125"/>
      <c r="E53" s="125"/>
      <c r="F53" s="125" t="str">
        <f>IF(F15&gt;0,"",F50*(1+F32*((F51)^F33)))</f>
        <v/>
      </c>
      <c r="G53" s="675"/>
      <c r="H53" s="741"/>
    </row>
    <row r="54" spans="1:20" x14ac:dyDescent="0.25">
      <c r="A54" s="741"/>
      <c r="B54" s="302"/>
      <c r="C54" s="359" t="s">
        <v>409</v>
      </c>
      <c r="D54" s="127"/>
      <c r="E54" s="127"/>
      <c r="F54" s="127" t="str">
        <f>IF(F15&gt;0,"",F50*(1+F32*((F52)^F33)))</f>
        <v/>
      </c>
      <c r="G54" s="680"/>
      <c r="H54" s="741"/>
    </row>
    <row r="55" spans="1:20" x14ac:dyDescent="0.25">
      <c r="A55" s="741"/>
      <c r="B55" s="302"/>
      <c r="C55" s="444" t="s">
        <v>447</v>
      </c>
      <c r="D55" s="127" t="str">
        <f>F55</f>
        <v/>
      </c>
      <c r="E55" s="127" t="str">
        <f>F55</f>
        <v/>
      </c>
      <c r="F55" s="127" t="str">
        <f>IF(F15&gt;0,"",F$24/(F53/60))</f>
        <v/>
      </c>
      <c r="G55" s="680"/>
      <c r="H55" s="741"/>
      <c r="N55" s="1089"/>
      <c r="O55" s="1102"/>
      <c r="P55" s="1102"/>
      <c r="Q55" s="1102"/>
      <c r="R55" s="1102"/>
      <c r="S55" s="1102"/>
      <c r="T55" s="1102"/>
    </row>
    <row r="56" spans="1:20" x14ac:dyDescent="0.25">
      <c r="A56" s="741"/>
      <c r="B56" s="302"/>
      <c r="C56" s="359" t="s">
        <v>448</v>
      </c>
      <c r="D56" s="127" t="str">
        <f>F56</f>
        <v/>
      </c>
      <c r="E56" s="127" t="str">
        <f>F56</f>
        <v/>
      </c>
      <c r="F56" s="127" t="str">
        <f>IF(F15&gt;0,"",F$24/(F54/60))</f>
        <v/>
      </c>
      <c r="G56" s="680"/>
      <c r="H56" s="741"/>
      <c r="N56" s="1089"/>
      <c r="O56" s="1102"/>
      <c r="P56" s="1102"/>
      <c r="Q56" s="1102"/>
      <c r="R56" s="1102"/>
      <c r="S56" s="1102"/>
      <c r="T56" s="1102"/>
    </row>
    <row r="57" spans="1:20" ht="15.75" x14ac:dyDescent="0.25">
      <c r="A57" s="741"/>
      <c r="B57" s="302"/>
      <c r="C57" s="700" t="s">
        <v>402</v>
      </c>
      <c r="D57" s="699"/>
      <c r="E57" s="704"/>
      <c r="F57" s="700"/>
      <c r="G57" s="304"/>
      <c r="H57" s="741"/>
      <c r="N57" s="1089"/>
      <c r="O57" s="1102"/>
      <c r="P57" s="1102"/>
      <c r="Q57" s="1102"/>
      <c r="R57" s="1102"/>
      <c r="S57" s="1102"/>
      <c r="T57" s="1102"/>
    </row>
    <row r="58" spans="1:20" x14ac:dyDescent="0.25">
      <c r="A58" s="741"/>
      <c r="B58" s="302"/>
      <c r="C58" s="359" t="s">
        <v>348</v>
      </c>
      <c r="D58" s="17" t="str">
        <f>IF($D$15&gt;0,"",LOOKUP(ROUNDDOWN($D$55/5, 0)*5,'2010ER'!$D$4:$D$19,'2010ER'!$H$4:$H$19)+(($D$55-ROUNDDOWN($D$55/5, 0)*5)/5)*(LOOKUP(ROUNDUP($D$55/5, 0)*5,'2010ER'!$D$4:$D$19,'2010ER'!$H$4:$H$19)-LOOKUP(ROUNDDOWN($D$55/5, 0)*5,'2010ER'!$D$4:$D$19,'2010ER'!$H$4:$H$19)))</f>
        <v/>
      </c>
      <c r="E58" s="17" t="str">
        <f>IF($D$15&gt;0,"",LOOKUP(ROUNDDOWN($E$55/5, 0)*5,'2020ER'!$D$4:$D$19,'2020ER'!$H$4:$H$19)+(($E$55-ROUNDDOWN($E$55/5, 0)*5)/5)*(LOOKUP(ROUNDUP($E$55/5, 0)*5,'2020ER'!$D$4:$D$19,'2020ER'!$H$4:$H$19)-LOOKUP(ROUNDDOWN($E$55/5, 0)*5,'2020ER'!$D$4:$D$19,'2020ER'!$H$4:$H$19)))</f>
        <v/>
      </c>
      <c r="F58" s="17" t="str">
        <f>IF($D$15&gt;0,"",TREND(D58:E58,$D$7:$E$7,$F$7))</f>
        <v/>
      </c>
      <c r="G58" s="662"/>
      <c r="H58" s="741"/>
      <c r="N58" s="1089"/>
      <c r="O58" s="1102"/>
      <c r="P58" s="1102"/>
      <c r="Q58" s="1102"/>
      <c r="R58" s="1102"/>
      <c r="S58" s="1102"/>
      <c r="T58" s="1102"/>
    </row>
    <row r="59" spans="1:20" x14ac:dyDescent="0.25">
      <c r="A59" s="741"/>
      <c r="B59" s="302"/>
      <c r="C59" s="359" t="s">
        <v>351</v>
      </c>
      <c r="D59" s="127" t="str">
        <f>IF($D$15&gt;0,"",LOOKUP(ROUNDDOWN($D$55/5, 0)*5,'2010ER'!$D$20:$D$35,'2010ER'!$H$20:$H$35)+(($D$55-ROUNDDOWN($D$55/5, 0)*5)/5)*(LOOKUP(ROUNDUP($D$55/5, 0)*5,'2010ER'!$D$20:$D$35,'2010ER'!$H$20:$H$35)-LOOKUP(ROUNDDOWN($D$55/5, 0)*5,'2010ER'!$D$20:$D$35,'2010ER'!$H$20:$H$35)))</f>
        <v/>
      </c>
      <c r="E59" s="127" t="str">
        <f>IF($D$15&gt;0,"",LOOKUP(ROUNDDOWN($E$55/5, 0)*5,'2020ER'!$D$20:$D$35,'2020ER'!$H$20:$H$35)+(($E$55-ROUNDDOWN($E$55/5, 0)*5)/5)*(LOOKUP(ROUNDUP($E$55/5, 0)*5,'2020ER'!$D$20:$D$35,'2020ER'!$H$20:$H$35)-LOOKUP(ROUNDDOWN($E$55/5, 0)*5,'2020ER'!$D$20:$D$35,'2020ER'!$H$20:$H$35)))</f>
        <v/>
      </c>
      <c r="F59" s="127" t="str">
        <f>IF($D$15&gt;0,"",TREND(D59:E59,$D$7:$E$7,$F$7))</f>
        <v/>
      </c>
      <c r="G59" s="680"/>
      <c r="H59" s="741"/>
      <c r="N59" s="1089"/>
      <c r="O59" s="1102"/>
      <c r="P59" s="1102"/>
      <c r="Q59" s="1102"/>
      <c r="R59" s="1102"/>
      <c r="S59" s="1102"/>
      <c r="T59" s="1102"/>
    </row>
    <row r="60" spans="1:20" x14ac:dyDescent="0.25">
      <c r="A60" s="741"/>
      <c r="B60" s="302"/>
      <c r="C60" s="359" t="s">
        <v>377</v>
      </c>
      <c r="D60" s="127" t="str">
        <f>IF($D$15&gt;0,"",LOOKUP(ROUNDDOWN($D$55/5, 0)*5,'2010ER'!$D$36:$D$51,'2010ER'!$H$36:$H$51)+(($D$55-ROUNDDOWN($D$55/5, 0)*5)/5)*(LOOKUP(ROUNDUP($D$55/5, 0)*5,'2010ER'!$D$36:$D$51,'2010ER'!$H$36:$H$51)-LOOKUP(ROUNDDOWN($D$55/5, 0)*5,'2010ER'!$D$36:$D$51,'2010ER'!$H$36:$H$51)))</f>
        <v/>
      </c>
      <c r="E60" s="127" t="str">
        <f>IF($D$15&gt;0,"",LOOKUP(ROUNDDOWN($E$55/5, 0)*5,'2020ER'!$D$36:$D$51,'2020ER'!$H$36:$H$51)+(($E$55-ROUNDDOWN($E$55/5, 0)*5)/5)*(LOOKUP(ROUNDUP($E$55/5, 0)*5,'2020ER'!$D$36:$D$51,'2020ER'!$H$36:$H$51)-LOOKUP(ROUNDDOWN($E$55/5, 0)*5,'2020ER'!$D$36:$D$51,'2020ER'!$H$36:$H$51)))</f>
        <v/>
      </c>
      <c r="F60" s="127" t="str">
        <f>IF($D$15&gt;0,"",TREND(D60:E60,$D$7:$E$7,$F$7))</f>
        <v/>
      </c>
      <c r="G60" s="680"/>
      <c r="H60" s="741"/>
      <c r="N60" s="1089"/>
      <c r="O60" s="1102"/>
      <c r="P60" s="1102"/>
      <c r="Q60" s="1102"/>
      <c r="R60" s="1102"/>
      <c r="S60" s="1102"/>
      <c r="T60" s="1102"/>
    </row>
    <row r="61" spans="1:20" x14ac:dyDescent="0.25">
      <c r="A61" s="741"/>
      <c r="B61" s="302"/>
      <c r="C61" s="359" t="s">
        <v>426</v>
      </c>
      <c r="D61" s="127" t="str">
        <f>IF($D$15&gt;0,"",LOOKUP(ROUNDDOWN($D$55/5, 0)*5,'2010ER'!$D$52:$D$67,'2010ER'!$H$52:$H$67)+(($D$55-ROUNDDOWN($D$55/5, 0)*5)/5)*(LOOKUP(ROUNDUP($D$55/5, 0)*5,'2010ER'!$D$52:$D$67,'2010ER'!$H$52:$H$67)-LOOKUP(ROUNDDOWN($D$55/5, 0)*5,'2010ER'!$D$52:$D$67,'2010ER'!$H$52:$H$67)))</f>
        <v/>
      </c>
      <c r="E61" s="127" t="str">
        <f>IF($D$15&gt;0,"",LOOKUP(ROUNDDOWN($E$55/5, 0)*5,'2020ER'!$D$52:$D$67,'2020ER'!$H$52:$H$67)+(($E$55-ROUNDDOWN($E$55/5, 0)*5)/5)*(LOOKUP(ROUNDUP($E$55/5, 0)*5,'2020ER'!$D$52:$D$67,'2020ER'!$H$52:$H$67)-LOOKUP(ROUNDDOWN($E$55/5, 0)*5,'2020ER'!$D$52:$D$67,'2020ER'!$H$52:$H$67)))</f>
        <v/>
      </c>
      <c r="F61" s="127" t="str">
        <f>IF($D$15&gt;0,"",TREND(D61:E61,$D$7:$E$7,$F$7))</f>
        <v/>
      </c>
      <c r="G61" s="680"/>
      <c r="H61" s="741"/>
      <c r="N61" s="1089"/>
      <c r="O61" s="1102"/>
      <c r="P61" s="1102"/>
      <c r="Q61" s="1102"/>
      <c r="R61" s="1102"/>
      <c r="S61" s="1102"/>
      <c r="T61" s="1102"/>
    </row>
    <row r="62" spans="1:20" x14ac:dyDescent="0.25">
      <c r="A62" s="741"/>
      <c r="B62" s="302"/>
      <c r="C62" s="359" t="s">
        <v>424</v>
      </c>
      <c r="D62" s="127" t="str">
        <f>IF($D$15&gt;0,"",LOOKUP(ROUNDDOWN($D$55/5, 0)*5,'2010ER'!$D$68:$D$83,'2010ER'!$H$68:$H$83)+(($D$55-ROUNDDOWN($D$55/5, 0)*5)/5)*(LOOKUP(ROUNDUP($D$55/5, 0)*5,'2010ER'!$D$68:$D$83,'2010ER'!$H$68:$H$83)-LOOKUP(ROUNDDOWN($D$55/5, 0)*5,'2010ER'!$D$68:$D$83,'2010ER'!$H$68:$H$83)))</f>
        <v/>
      </c>
      <c r="E62" s="127" t="str">
        <f>IF($D$15&gt;0,"",LOOKUP(ROUNDDOWN($E$55/5, 0)*5,'2020ER'!$D$68:$D$83,'2020ER'!$H$68:$H$83)+(($E$55-ROUNDDOWN($E$55/5, 0)*5)/5)*(LOOKUP(ROUNDUP($E$55/5, 0)*5,'2020ER'!$D$68:$D$83,'2020ER'!$H$68:$H$83)-LOOKUP(ROUNDDOWN($E$55/5, 0)*5,'2020ER'!$D$68:$D$83,'2020ER'!$H$68:$H$83)))</f>
        <v/>
      </c>
      <c r="F62" s="127" t="str">
        <f>IF($D$15&gt;0,"",TREND(D62:E62,$D$7:$E$7,$F$7))</f>
        <v/>
      </c>
      <c r="G62" s="680"/>
      <c r="H62" s="741"/>
      <c r="N62" s="1089"/>
      <c r="O62" s="1102"/>
      <c r="P62" s="1102"/>
      <c r="Q62" s="1102"/>
      <c r="R62" s="1102"/>
      <c r="S62" s="1102"/>
      <c r="T62" s="1102"/>
    </row>
    <row r="63" spans="1:20" ht="15.75" x14ac:dyDescent="0.25">
      <c r="A63" s="741"/>
      <c r="B63" s="302"/>
      <c r="C63" s="700" t="s">
        <v>406</v>
      </c>
      <c r="D63" s="699"/>
      <c r="E63" s="704"/>
      <c r="F63" s="700"/>
      <c r="G63" s="304"/>
      <c r="H63" s="741"/>
      <c r="N63" s="1089"/>
      <c r="O63" s="1102"/>
      <c r="P63" s="1102"/>
      <c r="Q63" s="1102"/>
      <c r="R63" s="1102"/>
      <c r="S63" s="1102"/>
      <c r="T63" s="1102"/>
    </row>
    <row r="64" spans="1:20" x14ac:dyDescent="0.25">
      <c r="A64" s="741"/>
      <c r="B64" s="302"/>
      <c r="C64" s="359" t="s">
        <v>348</v>
      </c>
      <c r="D64" s="17" t="str">
        <f>IF($D$15&gt;0,"",LOOKUP(ROUNDDOWN(D$56/5, 0)*5,'2010ER'!$D$4:$D$19,'2010ER'!$H$4:$H$19)+((D$56-ROUNDDOWN(D$56/5, 0)*5)/5)*(LOOKUP(ROUNDUP(D$56/5, 0)*5,'2010ER'!$D$4:$D$19,'2010ER'!$H$4:$H$19)-LOOKUP(ROUNDDOWN(D$56/5, 0)*5,'2010ER'!$D$4:$D$19,'2010ER'!$H$4:$H$19)))</f>
        <v/>
      </c>
      <c r="E64" s="17" t="str">
        <f>IF($D$15&gt;0,"",LOOKUP(ROUNDDOWN(E$56/5, 0)*5,'2020ER'!$D$4:$D$19,'2020ER'!$H$4:$H$19)+((E$56-ROUNDDOWN(E$56/5, 0)*5)/5)*(LOOKUP(ROUNDUP(E$56/5, 0)*5,'2020ER'!$D$4:$D$19,'2020ER'!$H$4:$H$19)-LOOKUP(ROUNDDOWN(E$56/5, 0)*5,'2020ER'!$D$4:$D$19,'2020ER'!$H$4:$H$19)))</f>
        <v/>
      </c>
      <c r="F64" s="17" t="str">
        <f>IF($D$15&gt;0,"",TREND(D64:E64,$D$7:$E$7,$F$7))</f>
        <v/>
      </c>
      <c r="G64" s="662"/>
      <c r="H64" s="741"/>
      <c r="N64" s="1089"/>
      <c r="O64" s="1102"/>
      <c r="P64" s="1102"/>
      <c r="Q64" s="1102"/>
      <c r="R64" s="1102"/>
      <c r="S64" s="1102"/>
      <c r="T64" s="1102"/>
    </row>
    <row r="65" spans="1:20" x14ac:dyDescent="0.25">
      <c r="A65" s="741"/>
      <c r="B65" s="302"/>
      <c r="C65" s="359" t="s">
        <v>351</v>
      </c>
      <c r="D65" s="127" t="str">
        <f>IF($D$15&gt;0,"",LOOKUP(ROUNDDOWN($D$56/5, 0)*5,'2010ER'!$D$20:$D$35,'2010ER'!$H$20:$H$35)+(($D$56-ROUNDDOWN($D$56/5, 0)*5)/5)*(LOOKUP(ROUNDUP($D$56/5, 0)*5,'2010ER'!$D$20:$D$35,'2010ER'!$H$20:$H$35)-LOOKUP(ROUNDDOWN($D$56/5, 0)*5,'2010ER'!$D$20:$D$35,'2010ER'!$H$20:$H$35)))</f>
        <v/>
      </c>
      <c r="E65" s="127" t="str">
        <f>IF($D$15&gt;0,"",LOOKUP(ROUNDDOWN($E$56/5, 0)*5,'2020ER'!$D$20:$D$35,'2020ER'!$H$20:$H$35)+(($E$56-ROUNDDOWN($E$56/5, 0)*5)/5)*(LOOKUP(ROUNDUP($E$56/5, 0)*5,'2020ER'!$D$20:$D$35,'2020ER'!$H$20:$H$35)-LOOKUP(ROUNDDOWN($E$56/5, 0)*5,'2020ER'!$D$20:$D$35,'2020ER'!$H$20:$H$35)))</f>
        <v/>
      </c>
      <c r="F65" s="127" t="str">
        <f>IF($D$15&gt;0,"",TREND(D65:E65,$D$7:$E$7,$F$7))</f>
        <v/>
      </c>
      <c r="G65" s="680"/>
      <c r="H65" s="741"/>
      <c r="N65" s="1089"/>
      <c r="O65" s="1102"/>
      <c r="P65" s="1102"/>
      <c r="Q65" s="1102"/>
      <c r="R65" s="1102"/>
      <c r="S65" s="1102"/>
      <c r="T65" s="1102"/>
    </row>
    <row r="66" spans="1:20" x14ac:dyDescent="0.25">
      <c r="A66" s="741"/>
      <c r="B66" s="302"/>
      <c r="C66" s="359" t="s">
        <v>377</v>
      </c>
      <c r="D66" s="127" t="str">
        <f>IF($D$15&gt;0,"",LOOKUP(ROUNDDOWN($D$56/5, 0)*5,'2010ER'!$D$36:$D$51,'2010ER'!$H$36:$H$51)+(($D$56-ROUNDDOWN($D$56/5, 0)*5)/5)*(LOOKUP(ROUNDUP($D$56/5, 0)*5,'2010ER'!$D$36:$D$51,'2010ER'!$H$36:$H$51)-LOOKUP(ROUNDDOWN($D$56/5, 0)*5,'2010ER'!$D$36:$D$51,'2010ER'!$H$36:$H$51)))</f>
        <v/>
      </c>
      <c r="E66" s="127" t="str">
        <f>IF($D$15&gt;0,"",LOOKUP(ROUNDDOWN($E$56/5, 0)*5,'2020ER'!$D$36:$D$51,'2020ER'!$H$36:$H$51)+(($E$56-ROUNDDOWN($E$56/5, 0)*5)/5)*(LOOKUP(ROUNDUP($E$56/5, 0)*5,'2020ER'!$D$36:$D$51,'2020ER'!$H$36:$H$51)-LOOKUP(ROUNDDOWN($E$56/5, 0)*5,'2020ER'!$D$36:$D$51,'2020ER'!$H$36:$H$51)))</f>
        <v/>
      </c>
      <c r="F66" s="127" t="str">
        <f>IF($D$15&gt;0,"",TREND(D66:E66,$D$7:$E$7,$F$7))</f>
        <v/>
      </c>
      <c r="G66" s="680"/>
      <c r="H66" s="741"/>
      <c r="N66" s="1089"/>
      <c r="O66" s="1102"/>
      <c r="P66" s="1102"/>
      <c r="Q66" s="1102"/>
      <c r="R66" s="1102"/>
      <c r="S66" s="1102"/>
      <c r="T66" s="1102"/>
    </row>
    <row r="67" spans="1:20" x14ac:dyDescent="0.25">
      <c r="A67" s="741"/>
      <c r="B67" s="302"/>
      <c r="C67" s="359" t="s">
        <v>426</v>
      </c>
      <c r="D67" s="127" t="str">
        <f>IF($D$15&gt;0,"",LOOKUP(ROUNDDOWN($D$56/5, 0)*5,'2010ER'!$D$52:$D$67,'2010ER'!$H$52:$H$67)+(($D$56-ROUNDDOWN($D$56/5, 0)*5)/5)*(LOOKUP(ROUNDUP($D$56/5, 0)*5,'2010ER'!$D$52:$D$67,'2010ER'!$H$52:$H$67)-LOOKUP(ROUNDDOWN($D$56/5, 0)*5,'2010ER'!$D$52:$D$67,'2010ER'!$H$52:$H$67)))</f>
        <v/>
      </c>
      <c r="E67" s="127" t="str">
        <f>IF($D$15&gt;0,"",LOOKUP(ROUNDDOWN($E$56/5, 0)*5,'2020ER'!$D$52:$D$67,'2020ER'!$H$52:$H$67)+(($E$56-ROUNDDOWN($E$56/5, 0)*5)/5)*(LOOKUP(ROUNDUP($E$56/5, 0)*5,'2020ER'!$D$52:$D$67,'2020ER'!$H$52:$H$67)-LOOKUP(ROUNDDOWN($E$56/5, 0)*5,'2020ER'!$D$52:$D$67,'2020ER'!$H$52:$H$67)))</f>
        <v/>
      </c>
      <c r="F67" s="127" t="str">
        <f>IF($D$15&gt;0,"",TREND(D67:E67,$D$7:$E$7,$F$7))</f>
        <v/>
      </c>
      <c r="G67" s="680"/>
      <c r="H67" s="741"/>
      <c r="N67" s="1089"/>
      <c r="O67" s="1102"/>
      <c r="P67" s="1102"/>
      <c r="Q67" s="1102"/>
      <c r="R67" s="1102"/>
      <c r="S67" s="1102"/>
      <c r="T67" s="1102"/>
    </row>
    <row r="68" spans="1:20" x14ac:dyDescent="0.25">
      <c r="A68" s="741"/>
      <c r="B68" s="302"/>
      <c r="C68" s="359" t="s">
        <v>424</v>
      </c>
      <c r="D68" s="127" t="str">
        <f>IF($D$15&gt;0,"",LOOKUP(ROUNDDOWN($D$56/5, 0)*5,'2010ER'!$D$68:$D$83,'2010ER'!$H$68:$H$83)+(($D$56-ROUNDDOWN($D$56/5, 0)*5)/5)*(LOOKUP(ROUNDUP($D$56/5, 0)*5,'2010ER'!$D$68:$D$83,'2010ER'!$H$68:$H$83)-LOOKUP(ROUNDDOWN($D$56/5, 0)*5,'2010ER'!$D$68:$D$83,'2010ER'!$H$68:$H$83)))</f>
        <v/>
      </c>
      <c r="E68" s="127" t="str">
        <f>IF($D$15&gt;0,"",LOOKUP(ROUNDDOWN($E$56/5, 0)*5,'2020ER'!$D$68:$D$83,'2020ER'!$H$68:$H$83)+(($E$56-ROUNDDOWN($E$56/5, 0)*5)/5)*(LOOKUP(ROUNDUP($E$56/5, 0)*5,'2020ER'!$D$68:$D$83,'2020ER'!$H$68:$H$83)-LOOKUP(ROUNDDOWN($E$56/5, 0)*5,'2020ER'!$D$68:$D$83,'2020ER'!$H$68:$H$83)))</f>
        <v/>
      </c>
      <c r="F68" s="127" t="str">
        <f>IF($D$15&gt;0,"",TREND(D68:E68,$D$7:$E$7,$F$7))</f>
        <v/>
      </c>
      <c r="G68" s="680"/>
      <c r="H68" s="741"/>
      <c r="N68" s="1089"/>
      <c r="O68" s="1102"/>
      <c r="P68" s="1102"/>
      <c r="Q68" s="1102"/>
      <c r="R68" s="1102"/>
      <c r="S68" s="1102"/>
      <c r="T68" s="1102"/>
    </row>
    <row r="69" spans="1:20" ht="15.75" x14ac:dyDescent="0.25">
      <c r="A69" s="741"/>
      <c r="B69" s="302"/>
      <c r="C69" s="700" t="s">
        <v>440</v>
      </c>
      <c r="D69" s="699"/>
      <c r="E69" s="704"/>
      <c r="F69" s="700"/>
      <c r="G69" s="304"/>
      <c r="H69" s="741"/>
      <c r="N69" s="1089"/>
      <c r="O69" s="1102"/>
      <c r="P69" s="1102"/>
      <c r="Q69" s="1102"/>
      <c r="R69" s="1102"/>
      <c r="S69" s="1102"/>
      <c r="T69" s="1102"/>
    </row>
    <row r="70" spans="1:20" x14ac:dyDescent="0.25">
      <c r="A70" s="741"/>
      <c r="B70" s="302"/>
      <c r="C70" s="359" t="s">
        <v>442</v>
      </c>
      <c r="D70" s="17" t="str">
        <f t="shared" ref="D70:F74" si="1">IF($D$15&gt;0,"",D$8*D$24*D$30*D58)</f>
        <v/>
      </c>
      <c r="E70" s="17" t="str">
        <f t="shared" si="1"/>
        <v/>
      </c>
      <c r="F70" s="17" t="str">
        <f t="shared" si="1"/>
        <v/>
      </c>
      <c r="G70" s="662"/>
      <c r="H70" s="741"/>
      <c r="N70" s="1089"/>
      <c r="O70" s="1102"/>
      <c r="P70" s="1102"/>
      <c r="Q70" s="1102"/>
      <c r="R70" s="1102"/>
      <c r="S70" s="1102"/>
      <c r="T70" s="1102"/>
    </row>
    <row r="71" spans="1:20" x14ac:dyDescent="0.25">
      <c r="A71" s="741"/>
      <c r="B71" s="302"/>
      <c r="C71" s="359" t="s">
        <v>443</v>
      </c>
      <c r="D71" s="17" t="str">
        <f t="shared" si="1"/>
        <v/>
      </c>
      <c r="E71" s="17" t="str">
        <f t="shared" si="1"/>
        <v/>
      </c>
      <c r="F71" s="17" t="str">
        <f t="shared" si="1"/>
        <v/>
      </c>
      <c r="G71" s="662"/>
      <c r="H71" s="741"/>
      <c r="N71" s="1089"/>
      <c r="O71" s="1102"/>
      <c r="P71" s="1102"/>
      <c r="Q71" s="1102"/>
      <c r="R71" s="1102"/>
      <c r="S71" s="1102"/>
      <c r="T71" s="1102"/>
    </row>
    <row r="72" spans="1:20" x14ac:dyDescent="0.25">
      <c r="A72" s="741"/>
      <c r="B72" s="302"/>
      <c r="C72" s="359" t="s">
        <v>444</v>
      </c>
      <c r="D72" s="17" t="str">
        <f t="shared" si="1"/>
        <v/>
      </c>
      <c r="E72" s="17" t="str">
        <f t="shared" si="1"/>
        <v/>
      </c>
      <c r="F72" s="17" t="str">
        <f t="shared" si="1"/>
        <v/>
      </c>
      <c r="G72" s="662"/>
      <c r="H72" s="741"/>
      <c r="N72" s="1089"/>
      <c r="O72" s="1102"/>
      <c r="P72" s="1102"/>
      <c r="Q72" s="1102"/>
      <c r="R72" s="1102"/>
      <c r="S72" s="1102"/>
      <c r="T72" s="1102"/>
    </row>
    <row r="73" spans="1:20" x14ac:dyDescent="0.25">
      <c r="A73" s="741"/>
      <c r="B73" s="302"/>
      <c r="C73" s="359" t="s">
        <v>445</v>
      </c>
      <c r="D73" s="17" t="str">
        <f t="shared" si="1"/>
        <v/>
      </c>
      <c r="E73" s="17" t="str">
        <f t="shared" si="1"/>
        <v/>
      </c>
      <c r="F73" s="17" t="str">
        <f t="shared" si="1"/>
        <v/>
      </c>
      <c r="G73" s="662"/>
      <c r="H73" s="741"/>
      <c r="N73" s="1089"/>
      <c r="O73" s="1102"/>
      <c r="P73" s="1102"/>
      <c r="Q73" s="1102"/>
      <c r="R73" s="1102"/>
      <c r="S73" s="1102"/>
      <c r="T73" s="1102"/>
    </row>
    <row r="74" spans="1:20" x14ac:dyDescent="0.25">
      <c r="A74" s="741"/>
      <c r="B74" s="302"/>
      <c r="C74" s="359" t="s">
        <v>446</v>
      </c>
      <c r="D74" s="17" t="str">
        <f t="shared" si="1"/>
        <v/>
      </c>
      <c r="E74" s="17" t="str">
        <f t="shared" si="1"/>
        <v/>
      </c>
      <c r="F74" s="17" t="str">
        <f t="shared" si="1"/>
        <v/>
      </c>
      <c r="G74" s="662"/>
      <c r="H74" s="741"/>
      <c r="N74" s="1089"/>
      <c r="O74" s="1102"/>
      <c r="P74" s="1102"/>
      <c r="Q74" s="1102"/>
      <c r="R74" s="1102"/>
      <c r="S74" s="1102"/>
      <c r="T74" s="1102"/>
    </row>
    <row r="75" spans="1:20" ht="15.75" x14ac:dyDescent="0.25">
      <c r="A75" s="741"/>
      <c r="B75" s="302"/>
      <c r="C75" s="700" t="s">
        <v>441</v>
      </c>
      <c r="D75" s="699"/>
      <c r="E75" s="704"/>
      <c r="F75" s="700"/>
      <c r="G75" s="304"/>
      <c r="H75" s="741"/>
      <c r="N75" s="1089"/>
      <c r="O75" s="1102"/>
      <c r="P75" s="1102"/>
      <c r="Q75" s="1102"/>
      <c r="R75" s="1102"/>
      <c r="S75" s="1102"/>
      <c r="T75" s="1102"/>
    </row>
    <row r="76" spans="1:20" x14ac:dyDescent="0.25">
      <c r="A76" s="741"/>
      <c r="B76" s="302"/>
      <c r="C76" s="359" t="s">
        <v>442</v>
      </c>
      <c r="D76" s="17">
        <f t="shared" ref="D76:F80" si="2">IF($D$15&gt;0,D$85*D37,(D$8*D$24*D$30-D$85)*D64)</f>
        <v>0</v>
      </c>
      <c r="E76" s="17">
        <f t="shared" si="2"/>
        <v>0</v>
      </c>
      <c r="F76" s="17">
        <f t="shared" si="2"/>
        <v>9581196.3112966735</v>
      </c>
      <c r="G76" s="662"/>
      <c r="H76" s="741"/>
      <c r="N76" s="1089"/>
      <c r="O76" s="1102"/>
      <c r="P76" s="1102"/>
      <c r="Q76" s="1102"/>
      <c r="R76" s="1102"/>
      <c r="S76" s="1102"/>
      <c r="T76" s="1102"/>
    </row>
    <row r="77" spans="1:20" x14ac:dyDescent="0.25">
      <c r="A77" s="741"/>
      <c r="B77" s="302"/>
      <c r="C77" s="359" t="s">
        <v>443</v>
      </c>
      <c r="D77" s="17">
        <f t="shared" si="2"/>
        <v>0</v>
      </c>
      <c r="E77" s="17">
        <f t="shared" si="2"/>
        <v>0</v>
      </c>
      <c r="F77" s="17">
        <f t="shared" si="2"/>
        <v>9322.9523336333477</v>
      </c>
      <c r="G77" s="662"/>
      <c r="H77" s="741"/>
      <c r="N77" s="1089"/>
      <c r="O77" s="1102"/>
      <c r="P77" s="1102"/>
      <c r="Q77" s="1102"/>
      <c r="R77" s="1102"/>
      <c r="S77" s="1102"/>
      <c r="T77" s="1102"/>
    </row>
    <row r="78" spans="1:20" x14ac:dyDescent="0.25">
      <c r="A78" s="741"/>
      <c r="B78" s="302"/>
      <c r="C78" s="359" t="s">
        <v>444</v>
      </c>
      <c r="D78" s="17">
        <f t="shared" si="2"/>
        <v>0</v>
      </c>
      <c r="E78" s="17">
        <f t="shared" si="2"/>
        <v>0</v>
      </c>
      <c r="F78" s="17">
        <f t="shared" si="2"/>
        <v>400.22374860189473</v>
      </c>
      <c r="G78" s="662"/>
      <c r="H78" s="741"/>
      <c r="N78" s="1089"/>
      <c r="O78" s="1102"/>
      <c r="P78" s="1102"/>
      <c r="Q78" s="1102"/>
      <c r="R78" s="1102"/>
      <c r="S78" s="1102"/>
      <c r="T78" s="1102"/>
    </row>
    <row r="79" spans="1:20" x14ac:dyDescent="0.25">
      <c r="A79" s="741"/>
      <c r="B79" s="302"/>
      <c r="C79" s="359" t="s">
        <v>445</v>
      </c>
      <c r="D79" s="17">
        <f t="shared" si="2"/>
        <v>0</v>
      </c>
      <c r="E79" s="17">
        <f t="shared" si="2"/>
        <v>0</v>
      </c>
      <c r="F79" s="17">
        <f t="shared" si="2"/>
        <v>8999.9392969890941</v>
      </c>
      <c r="G79" s="662"/>
      <c r="H79" s="741"/>
      <c r="N79" s="1089"/>
      <c r="O79" s="1102"/>
      <c r="P79" s="1102"/>
      <c r="Q79" s="1102"/>
      <c r="R79" s="1102"/>
      <c r="S79" s="1102"/>
      <c r="T79" s="1102"/>
    </row>
    <row r="80" spans="1:20" x14ac:dyDescent="0.25">
      <c r="A80" s="741"/>
      <c r="B80" s="302"/>
      <c r="C80" s="359" t="s">
        <v>446</v>
      </c>
      <c r="D80" s="17">
        <f t="shared" si="2"/>
        <v>0</v>
      </c>
      <c r="E80" s="17">
        <f t="shared" si="2"/>
        <v>0</v>
      </c>
      <c r="F80" s="17">
        <f t="shared" si="2"/>
        <v>3432.6441603144808</v>
      </c>
      <c r="G80" s="662"/>
      <c r="H80" s="741"/>
      <c r="N80" s="1089"/>
      <c r="O80" s="1102"/>
      <c r="P80" s="1102"/>
      <c r="Q80" s="1102"/>
      <c r="R80" s="1102"/>
      <c r="S80" s="1102"/>
      <c r="T80" s="1102"/>
    </row>
    <row r="81" spans="1:20" x14ac:dyDescent="0.25">
      <c r="A81" s="741"/>
      <c r="B81" s="302"/>
      <c r="C81" s="29"/>
      <c r="D81" s="662"/>
      <c r="E81" s="662"/>
      <c r="F81" s="662"/>
      <c r="G81" s="662"/>
      <c r="H81" s="741"/>
      <c r="N81" s="1089"/>
      <c r="O81" s="1102"/>
      <c r="P81" s="1102"/>
      <c r="Q81" s="1102"/>
      <c r="R81" s="1102"/>
      <c r="S81" s="1102"/>
      <c r="T81" s="1102"/>
    </row>
    <row r="82" spans="1:20" ht="15.75" x14ac:dyDescent="0.25">
      <c r="A82" s="741"/>
      <c r="B82" s="302"/>
      <c r="C82" s="1197" t="s">
        <v>701</v>
      </c>
      <c r="D82" s="1197"/>
      <c r="E82" s="1197"/>
      <c r="F82" s="1197"/>
      <c r="G82" s="662"/>
      <c r="H82" s="741"/>
    </row>
    <row r="83" spans="1:20" ht="15.75" thickBot="1" x14ac:dyDescent="0.3">
      <c r="A83" s="741"/>
      <c r="B83" s="302"/>
      <c r="C83" s="742" t="s">
        <v>990</v>
      </c>
      <c r="D83" s="742"/>
      <c r="E83" s="742"/>
      <c r="F83" s="742"/>
      <c r="G83" s="662"/>
      <c r="H83" s="741"/>
    </row>
    <row r="84" spans="1:20" ht="15.75" thickBot="1" x14ac:dyDescent="0.3">
      <c r="A84" s="741"/>
      <c r="B84" s="332"/>
      <c r="C84" s="734" t="s">
        <v>124</v>
      </c>
      <c r="D84" s="82" t="str">
        <f>IF($D$15&gt;0,"",((D53*D30*D8)-(((D8*D30)-D47)*D54)))</f>
        <v/>
      </c>
      <c r="E84" s="82" t="str">
        <f>IF($D$15&gt;0,"",((E53*E30*E8)-(((E8*E30)-E47)*E54)))</f>
        <v/>
      </c>
      <c r="F84" s="984" t="str">
        <f>IF($D$15&gt;0,"N/A",((F53*F30*F8)-(((F8*F30)-F47)*F54)))</f>
        <v>N/A</v>
      </c>
      <c r="G84" s="303"/>
      <c r="H84" s="741"/>
    </row>
    <row r="85" spans="1:20" ht="15.75" thickBot="1" x14ac:dyDescent="0.3">
      <c r="A85" s="741"/>
      <c r="B85" s="332"/>
      <c r="C85" s="508" t="s">
        <v>11</v>
      </c>
      <c r="D85" s="82">
        <f>IF(D15&gt;0,(D15*D19+D16*D22)*D30,(D45*D19)+(D46*D22))</f>
        <v>0</v>
      </c>
      <c r="E85" s="82">
        <f>IF(E15&gt;0,(E15*E19+E16*E22)*E30,(E45*E19)+(E46*E22))</f>
        <v>0</v>
      </c>
      <c r="F85" s="985">
        <f>IF(F15&gt;0,(F15*F19*F34+F16*F22*F35)*F30,(F45*F19)+(F46*F22))</f>
        <v>26710</v>
      </c>
      <c r="G85" s="197"/>
      <c r="H85" s="741"/>
    </row>
    <row r="86" spans="1:20" x14ac:dyDescent="0.25">
      <c r="A86" s="741"/>
      <c r="B86" s="302"/>
      <c r="C86" s="83"/>
      <c r="D86" s="197"/>
      <c r="E86" s="197"/>
      <c r="F86" s="1042"/>
      <c r="G86" s="197"/>
      <c r="H86" s="741"/>
    </row>
    <row r="87" spans="1:20" ht="15.75" thickBot="1" x14ac:dyDescent="0.3">
      <c r="A87" s="741"/>
      <c r="B87" s="302"/>
      <c r="C87" s="742" t="s">
        <v>724</v>
      </c>
      <c r="D87" s="519"/>
      <c r="E87" s="519"/>
      <c r="F87" s="519"/>
      <c r="G87" s="197"/>
      <c r="H87" s="741"/>
    </row>
    <row r="88" spans="1:20" x14ac:dyDescent="0.25">
      <c r="A88" s="741"/>
      <c r="B88" s="332"/>
      <c r="C88" s="802" t="s">
        <v>817</v>
      </c>
      <c r="D88" s="983">
        <f t="shared" ref="D88:F92" si="3">IF($D$15&gt;0,D76,D70-D76)</f>
        <v>0</v>
      </c>
      <c r="E88" s="986">
        <f t="shared" si="3"/>
        <v>0</v>
      </c>
      <c r="F88" s="984">
        <f t="shared" si="3"/>
        <v>9581196.3112966735</v>
      </c>
      <c r="G88" s="303"/>
      <c r="H88" s="741"/>
    </row>
    <row r="89" spans="1:20" x14ac:dyDescent="0.25">
      <c r="A89" s="741"/>
      <c r="B89" s="332"/>
      <c r="C89" s="330" t="s">
        <v>818</v>
      </c>
      <c r="D89" s="30">
        <f t="shared" si="3"/>
        <v>0</v>
      </c>
      <c r="E89" s="982">
        <f t="shared" si="3"/>
        <v>0</v>
      </c>
      <c r="F89" s="985">
        <f t="shared" si="3"/>
        <v>9322.9523336333477</v>
      </c>
      <c r="G89" s="667"/>
      <c r="H89" s="741"/>
    </row>
    <row r="90" spans="1:20" x14ac:dyDescent="0.25">
      <c r="A90" s="741"/>
      <c r="B90" s="332"/>
      <c r="C90" s="803" t="s">
        <v>819</v>
      </c>
      <c r="D90" s="30">
        <f t="shared" si="3"/>
        <v>0</v>
      </c>
      <c r="E90" s="982">
        <f t="shared" si="3"/>
        <v>0</v>
      </c>
      <c r="F90" s="985">
        <f t="shared" si="3"/>
        <v>400.22374860189473</v>
      </c>
      <c r="G90" s="667"/>
      <c r="H90" s="741"/>
    </row>
    <row r="91" spans="1:20" x14ac:dyDescent="0.25">
      <c r="A91" s="741"/>
      <c r="B91" s="332"/>
      <c r="C91" s="803" t="s">
        <v>820</v>
      </c>
      <c r="D91" s="30">
        <f t="shared" si="3"/>
        <v>0</v>
      </c>
      <c r="E91" s="982">
        <f t="shared" si="3"/>
        <v>0</v>
      </c>
      <c r="F91" s="985">
        <f t="shared" si="3"/>
        <v>8999.9392969890941</v>
      </c>
      <c r="G91" s="667"/>
      <c r="H91" s="741"/>
      <c r="P91" s="1086"/>
      <c r="Q91" s="1086"/>
      <c r="R91" s="1086"/>
      <c r="S91" s="1086"/>
    </row>
    <row r="92" spans="1:20" ht="15.75" thickBot="1" x14ac:dyDescent="0.3">
      <c r="A92" s="741"/>
      <c r="B92" s="332"/>
      <c r="C92" s="330" t="s">
        <v>821</v>
      </c>
      <c r="D92" s="30">
        <f t="shared" si="3"/>
        <v>0</v>
      </c>
      <c r="E92" s="982">
        <f t="shared" si="3"/>
        <v>0</v>
      </c>
      <c r="F92" s="985">
        <f t="shared" si="3"/>
        <v>3432.6441603144808</v>
      </c>
      <c r="G92" s="667"/>
      <c r="H92" s="741"/>
      <c r="P92" s="1098"/>
      <c r="Q92" s="1103"/>
      <c r="R92" s="1099"/>
      <c r="S92" s="1099"/>
    </row>
    <row r="93" spans="1:20" x14ac:dyDescent="0.25">
      <c r="A93" s="741"/>
      <c r="B93" s="332"/>
      <c r="C93" s="329" t="s">
        <v>974</v>
      </c>
      <c r="D93" s="707"/>
      <c r="E93" s="970"/>
      <c r="F93" s="946">
        <f>(F88*0.00000110231)/$F$30</f>
        <v>4.2245794023621747E-2</v>
      </c>
      <c r="G93" s="667"/>
      <c r="H93" s="741"/>
      <c r="Q93" s="1100"/>
      <c r="R93" s="1100"/>
      <c r="S93" s="1100"/>
    </row>
    <row r="94" spans="1:20" x14ac:dyDescent="0.25">
      <c r="A94" s="741"/>
      <c r="B94" s="332"/>
      <c r="C94" s="330" t="s">
        <v>975</v>
      </c>
      <c r="D94" s="708"/>
      <c r="E94" s="970"/>
      <c r="F94" s="973">
        <f t="shared" ref="F94:F97" si="4">(F89*0.00000110231)/$F$30</f>
        <v>4.1107134347549508E-5</v>
      </c>
      <c r="G94" s="228"/>
      <c r="H94" s="741"/>
      <c r="Q94" s="1100"/>
      <c r="R94" s="1100"/>
      <c r="S94" s="1100"/>
    </row>
    <row r="95" spans="1:20" x14ac:dyDescent="0.25">
      <c r="A95" s="741"/>
      <c r="B95" s="332"/>
      <c r="C95" s="330" t="s">
        <v>976</v>
      </c>
      <c r="D95" s="708"/>
      <c r="E95" s="970"/>
      <c r="F95" s="973">
        <f t="shared" si="4"/>
        <v>1.7646825612854183E-6</v>
      </c>
      <c r="G95" s="228"/>
      <c r="H95" s="741"/>
      <c r="Q95" s="1101"/>
      <c r="R95" s="1102"/>
      <c r="S95" s="1101"/>
    </row>
    <row r="96" spans="1:20" x14ac:dyDescent="0.25">
      <c r="A96" s="741"/>
      <c r="B96" s="332"/>
      <c r="C96" s="330" t="s">
        <v>977</v>
      </c>
      <c r="D96" s="708"/>
      <c r="E96" s="970"/>
      <c r="F96" s="973">
        <f t="shared" si="4"/>
        <v>3.9682892345856194E-5</v>
      </c>
      <c r="G96" s="303"/>
      <c r="H96" s="741"/>
      <c r="I96" s="1086"/>
      <c r="Q96" s="1101"/>
      <c r="R96" s="1102"/>
      <c r="S96" s="1101"/>
    </row>
    <row r="97" spans="1:19" ht="15.75" thickBot="1" x14ac:dyDescent="0.3">
      <c r="A97" s="741"/>
      <c r="B97" s="332"/>
      <c r="C97" s="331" t="s">
        <v>978</v>
      </c>
      <c r="D97" s="709"/>
      <c r="E97" s="971"/>
      <c r="F97" s="491">
        <f t="shared" si="4"/>
        <v>1.5135351937425024E-5</v>
      </c>
      <c r="G97" s="303"/>
      <c r="H97" s="741"/>
      <c r="Q97" s="1101"/>
      <c r="R97" s="1102"/>
      <c r="S97" s="1101"/>
    </row>
    <row r="98" spans="1:19" ht="9" customHeight="1" x14ac:dyDescent="0.25">
      <c r="A98" s="741"/>
      <c r="B98" s="302"/>
      <c r="C98" s="5"/>
      <c r="D98" s="302"/>
      <c r="E98" s="302"/>
      <c r="F98" s="302"/>
      <c r="G98" s="302"/>
      <c r="H98" s="741"/>
      <c r="Q98" s="1101"/>
      <c r="R98" s="1102"/>
      <c r="S98" s="1101"/>
    </row>
    <row r="99" spans="1:19" ht="12.75" customHeight="1" x14ac:dyDescent="0.25">
      <c r="A99" s="741"/>
      <c r="B99" s="741"/>
      <c r="C99" s="741"/>
      <c r="D99" s="741"/>
      <c r="E99" s="741"/>
      <c r="F99" s="741"/>
      <c r="G99" s="741"/>
      <c r="H99" s="741"/>
      <c r="J99" s="1086"/>
      <c r="K99" s="1086"/>
      <c r="L99" s="1086"/>
      <c r="Q99" s="1101"/>
      <c r="R99" s="1102"/>
      <c r="S99" s="1101"/>
    </row>
    <row r="100" spans="1:19" x14ac:dyDescent="0.25">
      <c r="M100" s="1086"/>
      <c r="N100" s="1086"/>
      <c r="O100" s="1086"/>
      <c r="P100" s="1086"/>
      <c r="Q100" s="1086"/>
      <c r="R100" s="1086"/>
      <c r="S100" s="1086"/>
    </row>
  </sheetData>
  <mergeCells count="7">
    <mergeCell ref="C43:F43"/>
    <mergeCell ref="C82:F82"/>
    <mergeCell ref="C14:F14"/>
    <mergeCell ref="C2:F2"/>
    <mergeCell ref="C3:F3"/>
    <mergeCell ref="C5:F5"/>
    <mergeCell ref="C26:F26"/>
  </mergeCells>
  <dataValidations count="2">
    <dataValidation type="list" allowBlank="1" showInputMessage="1" showErrorMessage="1" sqref="G7">
      <formula1>$Y$3:$Y$12</formula1>
    </dataValidation>
    <dataValidation type="list" allowBlank="1" showInputMessage="1" showErrorMessage="1" sqref="E7">
      <formula1>$AA$4:$AA$23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OtherVariables!$I$121:$I$131</xm:f>
          </x14:formula1>
          <xm:sqref>F7</xm:sqref>
        </x14:dataValidation>
        <x14:dataValidation type="list" allowBlank="1" showInputMessage="1" showErrorMessage="1">
          <x14:formula1>
            <xm:f>OtherVariables!$B$306:$B$309</xm:f>
          </x14:formula1>
          <xm:sqref>F13:G13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U79"/>
  <sheetViews>
    <sheetView showGridLines="0" zoomScale="85" zoomScaleNormal="85" workbookViewId="0">
      <selection activeCell="D59" sqref="D59"/>
    </sheetView>
  </sheetViews>
  <sheetFormatPr defaultRowHeight="15" x14ac:dyDescent="0.25"/>
  <cols>
    <col min="1" max="1" width="2.42578125" style="500" customWidth="1"/>
    <col min="2" max="2" width="1.7109375" style="500" customWidth="1"/>
    <col min="3" max="3" width="61.140625" style="500" bestFit="1" customWidth="1"/>
    <col min="4" max="4" width="18.42578125" style="500" customWidth="1"/>
    <col min="5" max="6" width="14.28515625" style="500" customWidth="1"/>
    <col min="7" max="7" width="2.42578125" style="500" customWidth="1"/>
    <col min="8" max="8" width="2.5703125" style="500" customWidth="1"/>
    <col min="9" max="257" width="9.140625" style="500"/>
    <col min="258" max="258" width="50.85546875" style="500" bestFit="1" customWidth="1"/>
    <col min="259" max="259" width="12.42578125" style="500" customWidth="1"/>
    <col min="260" max="260" width="9.5703125" style="500" customWidth="1"/>
    <col min="261" max="261" width="12.85546875" style="500" customWidth="1"/>
    <col min="262" max="264" width="9.5703125" style="500" customWidth="1"/>
    <col min="265" max="265" width="9.140625" style="500"/>
    <col min="266" max="266" width="10" style="500" bestFit="1" customWidth="1"/>
    <col min="267" max="513" width="9.140625" style="500"/>
    <col min="514" max="514" width="50.85546875" style="500" bestFit="1" customWidth="1"/>
    <col min="515" max="515" width="12.42578125" style="500" customWidth="1"/>
    <col min="516" max="516" width="9.5703125" style="500" customWidth="1"/>
    <col min="517" max="517" width="12.85546875" style="500" customWidth="1"/>
    <col min="518" max="520" width="9.5703125" style="500" customWidth="1"/>
    <col min="521" max="521" width="9.140625" style="500"/>
    <col min="522" max="522" width="10" style="500" bestFit="1" customWidth="1"/>
    <col min="523" max="769" width="9.140625" style="500"/>
    <col min="770" max="770" width="50.85546875" style="500" bestFit="1" customWidth="1"/>
    <col min="771" max="771" width="12.42578125" style="500" customWidth="1"/>
    <col min="772" max="772" width="9.5703125" style="500" customWidth="1"/>
    <col min="773" max="773" width="12.85546875" style="500" customWidth="1"/>
    <col min="774" max="776" width="9.5703125" style="500" customWidth="1"/>
    <col min="777" max="777" width="9.140625" style="500"/>
    <col min="778" max="778" width="10" style="500" bestFit="1" customWidth="1"/>
    <col min="779" max="1025" width="9.140625" style="500"/>
    <col min="1026" max="1026" width="50.85546875" style="500" bestFit="1" customWidth="1"/>
    <col min="1027" max="1027" width="12.42578125" style="500" customWidth="1"/>
    <col min="1028" max="1028" width="9.5703125" style="500" customWidth="1"/>
    <col min="1029" max="1029" width="12.85546875" style="500" customWidth="1"/>
    <col min="1030" max="1032" width="9.5703125" style="500" customWidth="1"/>
    <col min="1033" max="1033" width="9.140625" style="500"/>
    <col min="1034" max="1034" width="10" style="500" bestFit="1" customWidth="1"/>
    <col min="1035" max="1281" width="9.140625" style="500"/>
    <col min="1282" max="1282" width="50.85546875" style="500" bestFit="1" customWidth="1"/>
    <col min="1283" max="1283" width="12.42578125" style="500" customWidth="1"/>
    <col min="1284" max="1284" width="9.5703125" style="500" customWidth="1"/>
    <col min="1285" max="1285" width="12.85546875" style="500" customWidth="1"/>
    <col min="1286" max="1288" width="9.5703125" style="500" customWidth="1"/>
    <col min="1289" max="1289" width="9.140625" style="500"/>
    <col min="1290" max="1290" width="10" style="500" bestFit="1" customWidth="1"/>
    <col min="1291" max="1537" width="9.140625" style="500"/>
    <col min="1538" max="1538" width="50.85546875" style="500" bestFit="1" customWidth="1"/>
    <col min="1539" max="1539" width="12.42578125" style="500" customWidth="1"/>
    <col min="1540" max="1540" width="9.5703125" style="500" customWidth="1"/>
    <col min="1541" max="1541" width="12.85546875" style="500" customWidth="1"/>
    <col min="1542" max="1544" width="9.5703125" style="500" customWidth="1"/>
    <col min="1545" max="1545" width="9.140625" style="500"/>
    <col min="1546" max="1546" width="10" style="500" bestFit="1" customWidth="1"/>
    <col min="1547" max="1793" width="9.140625" style="500"/>
    <col min="1794" max="1794" width="50.85546875" style="500" bestFit="1" customWidth="1"/>
    <col min="1795" max="1795" width="12.42578125" style="500" customWidth="1"/>
    <col min="1796" max="1796" width="9.5703125" style="500" customWidth="1"/>
    <col min="1797" max="1797" width="12.85546875" style="500" customWidth="1"/>
    <col min="1798" max="1800" width="9.5703125" style="500" customWidth="1"/>
    <col min="1801" max="1801" width="9.140625" style="500"/>
    <col min="1802" max="1802" width="10" style="500" bestFit="1" customWidth="1"/>
    <col min="1803" max="2049" width="9.140625" style="500"/>
    <col min="2050" max="2050" width="50.85546875" style="500" bestFit="1" customWidth="1"/>
    <col min="2051" max="2051" width="12.42578125" style="500" customWidth="1"/>
    <col min="2052" max="2052" width="9.5703125" style="500" customWidth="1"/>
    <col min="2053" max="2053" width="12.85546875" style="500" customWidth="1"/>
    <col min="2054" max="2056" width="9.5703125" style="500" customWidth="1"/>
    <col min="2057" max="2057" width="9.140625" style="500"/>
    <col min="2058" max="2058" width="10" style="500" bestFit="1" customWidth="1"/>
    <col min="2059" max="2305" width="9.140625" style="500"/>
    <col min="2306" max="2306" width="50.85546875" style="500" bestFit="1" customWidth="1"/>
    <col min="2307" max="2307" width="12.42578125" style="500" customWidth="1"/>
    <col min="2308" max="2308" width="9.5703125" style="500" customWidth="1"/>
    <col min="2309" max="2309" width="12.85546875" style="500" customWidth="1"/>
    <col min="2310" max="2312" width="9.5703125" style="500" customWidth="1"/>
    <col min="2313" max="2313" width="9.140625" style="500"/>
    <col min="2314" max="2314" width="10" style="500" bestFit="1" customWidth="1"/>
    <col min="2315" max="2561" width="9.140625" style="500"/>
    <col min="2562" max="2562" width="50.85546875" style="500" bestFit="1" customWidth="1"/>
    <col min="2563" max="2563" width="12.42578125" style="500" customWidth="1"/>
    <col min="2564" max="2564" width="9.5703125" style="500" customWidth="1"/>
    <col min="2565" max="2565" width="12.85546875" style="500" customWidth="1"/>
    <col min="2566" max="2568" width="9.5703125" style="500" customWidth="1"/>
    <col min="2569" max="2569" width="9.140625" style="500"/>
    <col min="2570" max="2570" width="10" style="500" bestFit="1" customWidth="1"/>
    <col min="2571" max="2817" width="9.140625" style="500"/>
    <col min="2818" max="2818" width="50.85546875" style="500" bestFit="1" customWidth="1"/>
    <col min="2819" max="2819" width="12.42578125" style="500" customWidth="1"/>
    <col min="2820" max="2820" width="9.5703125" style="500" customWidth="1"/>
    <col min="2821" max="2821" width="12.85546875" style="500" customWidth="1"/>
    <col min="2822" max="2824" width="9.5703125" style="500" customWidth="1"/>
    <col min="2825" max="2825" width="9.140625" style="500"/>
    <col min="2826" max="2826" width="10" style="500" bestFit="1" customWidth="1"/>
    <col min="2827" max="3073" width="9.140625" style="500"/>
    <col min="3074" max="3074" width="50.85546875" style="500" bestFit="1" customWidth="1"/>
    <col min="3075" max="3075" width="12.42578125" style="500" customWidth="1"/>
    <col min="3076" max="3076" width="9.5703125" style="500" customWidth="1"/>
    <col min="3077" max="3077" width="12.85546875" style="500" customWidth="1"/>
    <col min="3078" max="3080" width="9.5703125" style="500" customWidth="1"/>
    <col min="3081" max="3081" width="9.140625" style="500"/>
    <col min="3082" max="3082" width="10" style="500" bestFit="1" customWidth="1"/>
    <col min="3083" max="3329" width="9.140625" style="500"/>
    <col min="3330" max="3330" width="50.85546875" style="500" bestFit="1" customWidth="1"/>
    <col min="3331" max="3331" width="12.42578125" style="500" customWidth="1"/>
    <col min="3332" max="3332" width="9.5703125" style="500" customWidth="1"/>
    <col min="3333" max="3333" width="12.85546875" style="500" customWidth="1"/>
    <col min="3334" max="3336" width="9.5703125" style="500" customWidth="1"/>
    <col min="3337" max="3337" width="9.140625" style="500"/>
    <col min="3338" max="3338" width="10" style="500" bestFit="1" customWidth="1"/>
    <col min="3339" max="3585" width="9.140625" style="500"/>
    <col min="3586" max="3586" width="50.85546875" style="500" bestFit="1" customWidth="1"/>
    <col min="3587" max="3587" width="12.42578125" style="500" customWidth="1"/>
    <col min="3588" max="3588" width="9.5703125" style="500" customWidth="1"/>
    <col min="3589" max="3589" width="12.85546875" style="500" customWidth="1"/>
    <col min="3590" max="3592" width="9.5703125" style="500" customWidth="1"/>
    <col min="3593" max="3593" width="9.140625" style="500"/>
    <col min="3594" max="3594" width="10" style="500" bestFit="1" customWidth="1"/>
    <col min="3595" max="3841" width="9.140625" style="500"/>
    <col min="3842" max="3842" width="50.85546875" style="500" bestFit="1" customWidth="1"/>
    <col min="3843" max="3843" width="12.42578125" style="500" customWidth="1"/>
    <col min="3844" max="3844" width="9.5703125" style="500" customWidth="1"/>
    <col min="3845" max="3845" width="12.85546875" style="500" customWidth="1"/>
    <col min="3846" max="3848" width="9.5703125" style="500" customWidth="1"/>
    <col min="3849" max="3849" width="9.140625" style="500"/>
    <col min="3850" max="3850" width="10" style="500" bestFit="1" customWidth="1"/>
    <col min="3851" max="4097" width="9.140625" style="500"/>
    <col min="4098" max="4098" width="50.85546875" style="500" bestFit="1" customWidth="1"/>
    <col min="4099" max="4099" width="12.42578125" style="500" customWidth="1"/>
    <col min="4100" max="4100" width="9.5703125" style="500" customWidth="1"/>
    <col min="4101" max="4101" width="12.85546875" style="500" customWidth="1"/>
    <col min="4102" max="4104" width="9.5703125" style="500" customWidth="1"/>
    <col min="4105" max="4105" width="9.140625" style="500"/>
    <col min="4106" max="4106" width="10" style="500" bestFit="1" customWidth="1"/>
    <col min="4107" max="4353" width="9.140625" style="500"/>
    <col min="4354" max="4354" width="50.85546875" style="500" bestFit="1" customWidth="1"/>
    <col min="4355" max="4355" width="12.42578125" style="500" customWidth="1"/>
    <col min="4356" max="4356" width="9.5703125" style="500" customWidth="1"/>
    <col min="4357" max="4357" width="12.85546875" style="500" customWidth="1"/>
    <col min="4358" max="4360" width="9.5703125" style="500" customWidth="1"/>
    <col min="4361" max="4361" width="9.140625" style="500"/>
    <col min="4362" max="4362" width="10" style="500" bestFit="1" customWidth="1"/>
    <col min="4363" max="4609" width="9.140625" style="500"/>
    <col min="4610" max="4610" width="50.85546875" style="500" bestFit="1" customWidth="1"/>
    <col min="4611" max="4611" width="12.42578125" style="500" customWidth="1"/>
    <col min="4612" max="4612" width="9.5703125" style="500" customWidth="1"/>
    <col min="4613" max="4613" width="12.85546875" style="500" customWidth="1"/>
    <col min="4614" max="4616" width="9.5703125" style="500" customWidth="1"/>
    <col min="4617" max="4617" width="9.140625" style="500"/>
    <col min="4618" max="4618" width="10" style="500" bestFit="1" customWidth="1"/>
    <col min="4619" max="4865" width="9.140625" style="500"/>
    <col min="4866" max="4866" width="50.85546875" style="500" bestFit="1" customWidth="1"/>
    <col min="4867" max="4867" width="12.42578125" style="500" customWidth="1"/>
    <col min="4868" max="4868" width="9.5703125" style="500" customWidth="1"/>
    <col min="4869" max="4869" width="12.85546875" style="500" customWidth="1"/>
    <col min="4870" max="4872" width="9.5703125" style="500" customWidth="1"/>
    <col min="4873" max="4873" width="9.140625" style="500"/>
    <col min="4874" max="4874" width="10" style="500" bestFit="1" customWidth="1"/>
    <col min="4875" max="5121" width="9.140625" style="500"/>
    <col min="5122" max="5122" width="50.85546875" style="500" bestFit="1" customWidth="1"/>
    <col min="5123" max="5123" width="12.42578125" style="500" customWidth="1"/>
    <col min="5124" max="5124" width="9.5703125" style="500" customWidth="1"/>
    <col min="5125" max="5125" width="12.85546875" style="500" customWidth="1"/>
    <col min="5126" max="5128" width="9.5703125" style="500" customWidth="1"/>
    <col min="5129" max="5129" width="9.140625" style="500"/>
    <col min="5130" max="5130" width="10" style="500" bestFit="1" customWidth="1"/>
    <col min="5131" max="5377" width="9.140625" style="500"/>
    <col min="5378" max="5378" width="50.85546875" style="500" bestFit="1" customWidth="1"/>
    <col min="5379" max="5379" width="12.42578125" style="500" customWidth="1"/>
    <col min="5380" max="5380" width="9.5703125" style="500" customWidth="1"/>
    <col min="5381" max="5381" width="12.85546875" style="500" customWidth="1"/>
    <col min="5382" max="5384" width="9.5703125" style="500" customWidth="1"/>
    <col min="5385" max="5385" width="9.140625" style="500"/>
    <col min="5386" max="5386" width="10" style="500" bestFit="1" customWidth="1"/>
    <col min="5387" max="5633" width="9.140625" style="500"/>
    <col min="5634" max="5634" width="50.85546875" style="500" bestFit="1" customWidth="1"/>
    <col min="5635" max="5635" width="12.42578125" style="500" customWidth="1"/>
    <col min="5636" max="5636" width="9.5703125" style="500" customWidth="1"/>
    <col min="5637" max="5637" width="12.85546875" style="500" customWidth="1"/>
    <col min="5638" max="5640" width="9.5703125" style="500" customWidth="1"/>
    <col min="5641" max="5641" width="9.140625" style="500"/>
    <col min="5642" max="5642" width="10" style="500" bestFit="1" customWidth="1"/>
    <col min="5643" max="5889" width="9.140625" style="500"/>
    <col min="5890" max="5890" width="50.85546875" style="500" bestFit="1" customWidth="1"/>
    <col min="5891" max="5891" width="12.42578125" style="500" customWidth="1"/>
    <col min="5892" max="5892" width="9.5703125" style="500" customWidth="1"/>
    <col min="5893" max="5893" width="12.85546875" style="500" customWidth="1"/>
    <col min="5894" max="5896" width="9.5703125" style="500" customWidth="1"/>
    <col min="5897" max="5897" width="9.140625" style="500"/>
    <col min="5898" max="5898" width="10" style="500" bestFit="1" customWidth="1"/>
    <col min="5899" max="6145" width="9.140625" style="500"/>
    <col min="6146" max="6146" width="50.85546875" style="500" bestFit="1" customWidth="1"/>
    <col min="6147" max="6147" width="12.42578125" style="500" customWidth="1"/>
    <col min="6148" max="6148" width="9.5703125" style="500" customWidth="1"/>
    <col min="6149" max="6149" width="12.85546875" style="500" customWidth="1"/>
    <col min="6150" max="6152" width="9.5703125" style="500" customWidth="1"/>
    <col min="6153" max="6153" width="9.140625" style="500"/>
    <col min="6154" max="6154" width="10" style="500" bestFit="1" customWidth="1"/>
    <col min="6155" max="6401" width="9.140625" style="500"/>
    <col min="6402" max="6402" width="50.85546875" style="500" bestFit="1" customWidth="1"/>
    <col min="6403" max="6403" width="12.42578125" style="500" customWidth="1"/>
    <col min="6404" max="6404" width="9.5703125" style="500" customWidth="1"/>
    <col min="6405" max="6405" width="12.85546875" style="500" customWidth="1"/>
    <col min="6406" max="6408" width="9.5703125" style="500" customWidth="1"/>
    <col min="6409" max="6409" width="9.140625" style="500"/>
    <col min="6410" max="6410" width="10" style="500" bestFit="1" customWidth="1"/>
    <col min="6411" max="6657" width="9.140625" style="500"/>
    <col min="6658" max="6658" width="50.85546875" style="500" bestFit="1" customWidth="1"/>
    <col min="6659" max="6659" width="12.42578125" style="500" customWidth="1"/>
    <col min="6660" max="6660" width="9.5703125" style="500" customWidth="1"/>
    <col min="6661" max="6661" width="12.85546875" style="500" customWidth="1"/>
    <col min="6662" max="6664" width="9.5703125" style="500" customWidth="1"/>
    <col min="6665" max="6665" width="9.140625" style="500"/>
    <col min="6666" max="6666" width="10" style="500" bestFit="1" customWidth="1"/>
    <col min="6667" max="6913" width="9.140625" style="500"/>
    <col min="6914" max="6914" width="50.85546875" style="500" bestFit="1" customWidth="1"/>
    <col min="6915" max="6915" width="12.42578125" style="500" customWidth="1"/>
    <col min="6916" max="6916" width="9.5703125" style="500" customWidth="1"/>
    <col min="6917" max="6917" width="12.85546875" style="500" customWidth="1"/>
    <col min="6918" max="6920" width="9.5703125" style="500" customWidth="1"/>
    <col min="6921" max="6921" width="9.140625" style="500"/>
    <col min="6922" max="6922" width="10" style="500" bestFit="1" customWidth="1"/>
    <col min="6923" max="7169" width="9.140625" style="500"/>
    <col min="7170" max="7170" width="50.85546875" style="500" bestFit="1" customWidth="1"/>
    <col min="7171" max="7171" width="12.42578125" style="500" customWidth="1"/>
    <col min="7172" max="7172" width="9.5703125" style="500" customWidth="1"/>
    <col min="7173" max="7173" width="12.85546875" style="500" customWidth="1"/>
    <col min="7174" max="7176" width="9.5703125" style="500" customWidth="1"/>
    <col min="7177" max="7177" width="9.140625" style="500"/>
    <col min="7178" max="7178" width="10" style="500" bestFit="1" customWidth="1"/>
    <col min="7179" max="7425" width="9.140625" style="500"/>
    <col min="7426" max="7426" width="50.85546875" style="500" bestFit="1" customWidth="1"/>
    <col min="7427" max="7427" width="12.42578125" style="500" customWidth="1"/>
    <col min="7428" max="7428" width="9.5703125" style="500" customWidth="1"/>
    <col min="7429" max="7429" width="12.85546875" style="500" customWidth="1"/>
    <col min="7430" max="7432" width="9.5703125" style="500" customWidth="1"/>
    <col min="7433" max="7433" width="9.140625" style="500"/>
    <col min="7434" max="7434" width="10" style="500" bestFit="1" customWidth="1"/>
    <col min="7435" max="7681" width="9.140625" style="500"/>
    <col min="7682" max="7682" width="50.85546875" style="500" bestFit="1" customWidth="1"/>
    <col min="7683" max="7683" width="12.42578125" style="500" customWidth="1"/>
    <col min="7684" max="7684" width="9.5703125" style="500" customWidth="1"/>
    <col min="7685" max="7685" width="12.85546875" style="500" customWidth="1"/>
    <col min="7686" max="7688" width="9.5703125" style="500" customWidth="1"/>
    <col min="7689" max="7689" width="9.140625" style="500"/>
    <col min="7690" max="7690" width="10" style="500" bestFit="1" customWidth="1"/>
    <col min="7691" max="7937" width="9.140625" style="500"/>
    <col min="7938" max="7938" width="50.85546875" style="500" bestFit="1" customWidth="1"/>
    <col min="7939" max="7939" width="12.42578125" style="500" customWidth="1"/>
    <col min="7940" max="7940" width="9.5703125" style="500" customWidth="1"/>
    <col min="7941" max="7941" width="12.85546875" style="500" customWidth="1"/>
    <col min="7942" max="7944" width="9.5703125" style="500" customWidth="1"/>
    <col min="7945" max="7945" width="9.140625" style="500"/>
    <col min="7946" max="7946" width="10" style="500" bestFit="1" customWidth="1"/>
    <col min="7947" max="8193" width="9.140625" style="500"/>
    <col min="8194" max="8194" width="50.85546875" style="500" bestFit="1" customWidth="1"/>
    <col min="8195" max="8195" width="12.42578125" style="500" customWidth="1"/>
    <col min="8196" max="8196" width="9.5703125" style="500" customWidth="1"/>
    <col min="8197" max="8197" width="12.85546875" style="500" customWidth="1"/>
    <col min="8198" max="8200" width="9.5703125" style="500" customWidth="1"/>
    <col min="8201" max="8201" width="9.140625" style="500"/>
    <col min="8202" max="8202" width="10" style="500" bestFit="1" customWidth="1"/>
    <col min="8203" max="8449" width="9.140625" style="500"/>
    <col min="8450" max="8450" width="50.85546875" style="500" bestFit="1" customWidth="1"/>
    <col min="8451" max="8451" width="12.42578125" style="500" customWidth="1"/>
    <col min="8452" max="8452" width="9.5703125" style="500" customWidth="1"/>
    <col min="8453" max="8453" width="12.85546875" style="500" customWidth="1"/>
    <col min="8454" max="8456" width="9.5703125" style="500" customWidth="1"/>
    <col min="8457" max="8457" width="9.140625" style="500"/>
    <col min="8458" max="8458" width="10" style="500" bestFit="1" customWidth="1"/>
    <col min="8459" max="8705" width="9.140625" style="500"/>
    <col min="8706" max="8706" width="50.85546875" style="500" bestFit="1" customWidth="1"/>
    <col min="8707" max="8707" width="12.42578125" style="500" customWidth="1"/>
    <col min="8708" max="8708" width="9.5703125" style="500" customWidth="1"/>
    <col min="8709" max="8709" width="12.85546875" style="500" customWidth="1"/>
    <col min="8710" max="8712" width="9.5703125" style="500" customWidth="1"/>
    <col min="8713" max="8713" width="9.140625" style="500"/>
    <col min="8714" max="8714" width="10" style="500" bestFit="1" customWidth="1"/>
    <col min="8715" max="8961" width="9.140625" style="500"/>
    <col min="8962" max="8962" width="50.85546875" style="500" bestFit="1" customWidth="1"/>
    <col min="8963" max="8963" width="12.42578125" style="500" customWidth="1"/>
    <col min="8964" max="8964" width="9.5703125" style="500" customWidth="1"/>
    <col min="8965" max="8965" width="12.85546875" style="500" customWidth="1"/>
    <col min="8966" max="8968" width="9.5703125" style="500" customWidth="1"/>
    <col min="8969" max="8969" width="9.140625" style="500"/>
    <col min="8970" max="8970" width="10" style="500" bestFit="1" customWidth="1"/>
    <col min="8971" max="9217" width="9.140625" style="500"/>
    <col min="9218" max="9218" width="50.85546875" style="500" bestFit="1" customWidth="1"/>
    <col min="9219" max="9219" width="12.42578125" style="500" customWidth="1"/>
    <col min="9220" max="9220" width="9.5703125" style="500" customWidth="1"/>
    <col min="9221" max="9221" width="12.85546875" style="500" customWidth="1"/>
    <col min="9222" max="9224" width="9.5703125" style="500" customWidth="1"/>
    <col min="9225" max="9225" width="9.140625" style="500"/>
    <col min="9226" max="9226" width="10" style="500" bestFit="1" customWidth="1"/>
    <col min="9227" max="9473" width="9.140625" style="500"/>
    <col min="9474" max="9474" width="50.85546875" style="500" bestFit="1" customWidth="1"/>
    <col min="9475" max="9475" width="12.42578125" style="500" customWidth="1"/>
    <col min="9476" max="9476" width="9.5703125" style="500" customWidth="1"/>
    <col min="9477" max="9477" width="12.85546875" style="500" customWidth="1"/>
    <col min="9478" max="9480" width="9.5703125" style="500" customWidth="1"/>
    <col min="9481" max="9481" width="9.140625" style="500"/>
    <col min="9482" max="9482" width="10" style="500" bestFit="1" customWidth="1"/>
    <col min="9483" max="9729" width="9.140625" style="500"/>
    <col min="9730" max="9730" width="50.85546875" style="500" bestFit="1" customWidth="1"/>
    <col min="9731" max="9731" width="12.42578125" style="500" customWidth="1"/>
    <col min="9732" max="9732" width="9.5703125" style="500" customWidth="1"/>
    <col min="9733" max="9733" width="12.85546875" style="500" customWidth="1"/>
    <col min="9734" max="9736" width="9.5703125" style="500" customWidth="1"/>
    <col min="9737" max="9737" width="9.140625" style="500"/>
    <col min="9738" max="9738" width="10" style="500" bestFit="1" customWidth="1"/>
    <col min="9739" max="9985" width="9.140625" style="500"/>
    <col min="9986" max="9986" width="50.85546875" style="500" bestFit="1" customWidth="1"/>
    <col min="9987" max="9987" width="12.42578125" style="500" customWidth="1"/>
    <col min="9988" max="9988" width="9.5703125" style="500" customWidth="1"/>
    <col min="9989" max="9989" width="12.85546875" style="500" customWidth="1"/>
    <col min="9990" max="9992" width="9.5703125" style="500" customWidth="1"/>
    <col min="9993" max="9993" width="9.140625" style="500"/>
    <col min="9994" max="9994" width="10" style="500" bestFit="1" customWidth="1"/>
    <col min="9995" max="10241" width="9.140625" style="500"/>
    <col min="10242" max="10242" width="50.85546875" style="500" bestFit="1" customWidth="1"/>
    <col min="10243" max="10243" width="12.42578125" style="500" customWidth="1"/>
    <col min="10244" max="10244" width="9.5703125" style="500" customWidth="1"/>
    <col min="10245" max="10245" width="12.85546875" style="500" customWidth="1"/>
    <col min="10246" max="10248" width="9.5703125" style="500" customWidth="1"/>
    <col min="10249" max="10249" width="9.140625" style="500"/>
    <col min="10250" max="10250" width="10" style="500" bestFit="1" customWidth="1"/>
    <col min="10251" max="10497" width="9.140625" style="500"/>
    <col min="10498" max="10498" width="50.85546875" style="500" bestFit="1" customWidth="1"/>
    <col min="10499" max="10499" width="12.42578125" style="500" customWidth="1"/>
    <col min="10500" max="10500" width="9.5703125" style="500" customWidth="1"/>
    <col min="10501" max="10501" width="12.85546875" style="500" customWidth="1"/>
    <col min="10502" max="10504" width="9.5703125" style="500" customWidth="1"/>
    <col min="10505" max="10505" width="9.140625" style="500"/>
    <col min="10506" max="10506" width="10" style="500" bestFit="1" customWidth="1"/>
    <col min="10507" max="10753" width="9.140625" style="500"/>
    <col min="10754" max="10754" width="50.85546875" style="500" bestFit="1" customWidth="1"/>
    <col min="10755" max="10755" width="12.42578125" style="500" customWidth="1"/>
    <col min="10756" max="10756" width="9.5703125" style="500" customWidth="1"/>
    <col min="10757" max="10757" width="12.85546875" style="500" customWidth="1"/>
    <col min="10758" max="10760" width="9.5703125" style="500" customWidth="1"/>
    <col min="10761" max="10761" width="9.140625" style="500"/>
    <col min="10762" max="10762" width="10" style="500" bestFit="1" customWidth="1"/>
    <col min="10763" max="11009" width="9.140625" style="500"/>
    <col min="11010" max="11010" width="50.85546875" style="500" bestFit="1" customWidth="1"/>
    <col min="11011" max="11011" width="12.42578125" style="500" customWidth="1"/>
    <col min="11012" max="11012" width="9.5703125" style="500" customWidth="1"/>
    <col min="11013" max="11013" width="12.85546875" style="500" customWidth="1"/>
    <col min="11014" max="11016" width="9.5703125" style="500" customWidth="1"/>
    <col min="11017" max="11017" width="9.140625" style="500"/>
    <col min="11018" max="11018" width="10" style="500" bestFit="1" customWidth="1"/>
    <col min="11019" max="11265" width="9.140625" style="500"/>
    <col min="11266" max="11266" width="50.85546875" style="500" bestFit="1" customWidth="1"/>
    <col min="11267" max="11267" width="12.42578125" style="500" customWidth="1"/>
    <col min="11268" max="11268" width="9.5703125" style="500" customWidth="1"/>
    <col min="11269" max="11269" width="12.85546875" style="500" customWidth="1"/>
    <col min="11270" max="11272" width="9.5703125" style="500" customWidth="1"/>
    <col min="11273" max="11273" width="9.140625" style="500"/>
    <col min="11274" max="11274" width="10" style="500" bestFit="1" customWidth="1"/>
    <col min="11275" max="11521" width="9.140625" style="500"/>
    <col min="11522" max="11522" width="50.85546875" style="500" bestFit="1" customWidth="1"/>
    <col min="11523" max="11523" width="12.42578125" style="500" customWidth="1"/>
    <col min="11524" max="11524" width="9.5703125" style="500" customWidth="1"/>
    <col min="11525" max="11525" width="12.85546875" style="500" customWidth="1"/>
    <col min="11526" max="11528" width="9.5703125" style="500" customWidth="1"/>
    <col min="11529" max="11529" width="9.140625" style="500"/>
    <col min="11530" max="11530" width="10" style="500" bestFit="1" customWidth="1"/>
    <col min="11531" max="11777" width="9.140625" style="500"/>
    <col min="11778" max="11778" width="50.85546875" style="500" bestFit="1" customWidth="1"/>
    <col min="11779" max="11779" width="12.42578125" style="500" customWidth="1"/>
    <col min="11780" max="11780" width="9.5703125" style="500" customWidth="1"/>
    <col min="11781" max="11781" width="12.85546875" style="500" customWidth="1"/>
    <col min="11782" max="11784" width="9.5703125" style="500" customWidth="1"/>
    <col min="11785" max="11785" width="9.140625" style="500"/>
    <col min="11786" max="11786" width="10" style="500" bestFit="1" customWidth="1"/>
    <col min="11787" max="12033" width="9.140625" style="500"/>
    <col min="12034" max="12034" width="50.85546875" style="500" bestFit="1" customWidth="1"/>
    <col min="12035" max="12035" width="12.42578125" style="500" customWidth="1"/>
    <col min="12036" max="12036" width="9.5703125" style="500" customWidth="1"/>
    <col min="12037" max="12037" width="12.85546875" style="500" customWidth="1"/>
    <col min="12038" max="12040" width="9.5703125" style="500" customWidth="1"/>
    <col min="12041" max="12041" width="9.140625" style="500"/>
    <col min="12042" max="12042" width="10" style="500" bestFit="1" customWidth="1"/>
    <col min="12043" max="12289" width="9.140625" style="500"/>
    <col min="12290" max="12290" width="50.85546875" style="500" bestFit="1" customWidth="1"/>
    <col min="12291" max="12291" width="12.42578125" style="500" customWidth="1"/>
    <col min="12292" max="12292" width="9.5703125" style="500" customWidth="1"/>
    <col min="12293" max="12293" width="12.85546875" style="500" customWidth="1"/>
    <col min="12294" max="12296" width="9.5703125" style="500" customWidth="1"/>
    <col min="12297" max="12297" width="9.140625" style="500"/>
    <col min="12298" max="12298" width="10" style="500" bestFit="1" customWidth="1"/>
    <col min="12299" max="12545" width="9.140625" style="500"/>
    <col min="12546" max="12546" width="50.85546875" style="500" bestFit="1" customWidth="1"/>
    <col min="12547" max="12547" width="12.42578125" style="500" customWidth="1"/>
    <col min="12548" max="12548" width="9.5703125" style="500" customWidth="1"/>
    <col min="12549" max="12549" width="12.85546875" style="500" customWidth="1"/>
    <col min="12550" max="12552" width="9.5703125" style="500" customWidth="1"/>
    <col min="12553" max="12553" width="9.140625" style="500"/>
    <col min="12554" max="12554" width="10" style="500" bestFit="1" customWidth="1"/>
    <col min="12555" max="12801" width="9.140625" style="500"/>
    <col min="12802" max="12802" width="50.85546875" style="500" bestFit="1" customWidth="1"/>
    <col min="12803" max="12803" width="12.42578125" style="500" customWidth="1"/>
    <col min="12804" max="12804" width="9.5703125" style="500" customWidth="1"/>
    <col min="12805" max="12805" width="12.85546875" style="500" customWidth="1"/>
    <col min="12806" max="12808" width="9.5703125" style="500" customWidth="1"/>
    <col min="12809" max="12809" width="9.140625" style="500"/>
    <col min="12810" max="12810" width="10" style="500" bestFit="1" customWidth="1"/>
    <col min="12811" max="13057" width="9.140625" style="500"/>
    <col min="13058" max="13058" width="50.85546875" style="500" bestFit="1" customWidth="1"/>
    <col min="13059" max="13059" width="12.42578125" style="500" customWidth="1"/>
    <col min="13060" max="13060" width="9.5703125" style="500" customWidth="1"/>
    <col min="13061" max="13061" width="12.85546875" style="500" customWidth="1"/>
    <col min="13062" max="13064" width="9.5703125" style="500" customWidth="1"/>
    <col min="13065" max="13065" width="9.140625" style="500"/>
    <col min="13066" max="13066" width="10" style="500" bestFit="1" customWidth="1"/>
    <col min="13067" max="13313" width="9.140625" style="500"/>
    <col min="13314" max="13314" width="50.85546875" style="500" bestFit="1" customWidth="1"/>
    <col min="13315" max="13315" width="12.42578125" style="500" customWidth="1"/>
    <col min="13316" max="13316" width="9.5703125" style="500" customWidth="1"/>
    <col min="13317" max="13317" width="12.85546875" style="500" customWidth="1"/>
    <col min="13318" max="13320" width="9.5703125" style="500" customWidth="1"/>
    <col min="13321" max="13321" width="9.140625" style="500"/>
    <col min="13322" max="13322" width="10" style="500" bestFit="1" customWidth="1"/>
    <col min="13323" max="13569" width="9.140625" style="500"/>
    <col min="13570" max="13570" width="50.85546875" style="500" bestFit="1" customWidth="1"/>
    <col min="13571" max="13571" width="12.42578125" style="500" customWidth="1"/>
    <col min="13572" max="13572" width="9.5703125" style="500" customWidth="1"/>
    <col min="13573" max="13573" width="12.85546875" style="500" customWidth="1"/>
    <col min="13574" max="13576" width="9.5703125" style="500" customWidth="1"/>
    <col min="13577" max="13577" width="9.140625" style="500"/>
    <col min="13578" max="13578" width="10" style="500" bestFit="1" customWidth="1"/>
    <col min="13579" max="13825" width="9.140625" style="500"/>
    <col min="13826" max="13826" width="50.85546875" style="500" bestFit="1" customWidth="1"/>
    <col min="13827" max="13827" width="12.42578125" style="500" customWidth="1"/>
    <col min="13828" max="13828" width="9.5703125" style="500" customWidth="1"/>
    <col min="13829" max="13829" width="12.85546875" style="500" customWidth="1"/>
    <col min="13830" max="13832" width="9.5703125" style="500" customWidth="1"/>
    <col min="13833" max="13833" width="9.140625" style="500"/>
    <col min="13834" max="13834" width="10" style="500" bestFit="1" customWidth="1"/>
    <col min="13835" max="14081" width="9.140625" style="500"/>
    <col min="14082" max="14082" width="50.85546875" style="500" bestFit="1" customWidth="1"/>
    <col min="14083" max="14083" width="12.42578125" style="500" customWidth="1"/>
    <col min="14084" max="14084" width="9.5703125" style="500" customWidth="1"/>
    <col min="14085" max="14085" width="12.85546875" style="500" customWidth="1"/>
    <col min="14086" max="14088" width="9.5703125" style="500" customWidth="1"/>
    <col min="14089" max="14089" width="9.140625" style="500"/>
    <col min="14090" max="14090" width="10" style="500" bestFit="1" customWidth="1"/>
    <col min="14091" max="14337" width="9.140625" style="500"/>
    <col min="14338" max="14338" width="50.85546875" style="500" bestFit="1" customWidth="1"/>
    <col min="14339" max="14339" width="12.42578125" style="500" customWidth="1"/>
    <col min="14340" max="14340" width="9.5703125" style="500" customWidth="1"/>
    <col min="14341" max="14341" width="12.85546875" style="500" customWidth="1"/>
    <col min="14342" max="14344" width="9.5703125" style="500" customWidth="1"/>
    <col min="14345" max="14345" width="9.140625" style="500"/>
    <col min="14346" max="14346" width="10" style="500" bestFit="1" customWidth="1"/>
    <col min="14347" max="14593" width="9.140625" style="500"/>
    <col min="14594" max="14594" width="50.85546875" style="500" bestFit="1" customWidth="1"/>
    <col min="14595" max="14595" width="12.42578125" style="500" customWidth="1"/>
    <col min="14596" max="14596" width="9.5703125" style="500" customWidth="1"/>
    <col min="14597" max="14597" width="12.85546875" style="500" customWidth="1"/>
    <col min="14598" max="14600" width="9.5703125" style="500" customWidth="1"/>
    <col min="14601" max="14601" width="9.140625" style="500"/>
    <col min="14602" max="14602" width="10" style="500" bestFit="1" customWidth="1"/>
    <col min="14603" max="14849" width="9.140625" style="500"/>
    <col min="14850" max="14850" width="50.85546875" style="500" bestFit="1" customWidth="1"/>
    <col min="14851" max="14851" width="12.42578125" style="500" customWidth="1"/>
    <col min="14852" max="14852" width="9.5703125" style="500" customWidth="1"/>
    <col min="14853" max="14853" width="12.85546875" style="500" customWidth="1"/>
    <col min="14854" max="14856" width="9.5703125" style="500" customWidth="1"/>
    <col min="14857" max="14857" width="9.140625" style="500"/>
    <col min="14858" max="14858" width="10" style="500" bestFit="1" customWidth="1"/>
    <col min="14859" max="15105" width="9.140625" style="500"/>
    <col min="15106" max="15106" width="50.85546875" style="500" bestFit="1" customWidth="1"/>
    <col min="15107" max="15107" width="12.42578125" style="500" customWidth="1"/>
    <col min="15108" max="15108" width="9.5703125" style="500" customWidth="1"/>
    <col min="15109" max="15109" width="12.85546875" style="500" customWidth="1"/>
    <col min="15110" max="15112" width="9.5703125" style="500" customWidth="1"/>
    <col min="15113" max="15113" width="9.140625" style="500"/>
    <col min="15114" max="15114" width="10" style="500" bestFit="1" customWidth="1"/>
    <col min="15115" max="15361" width="9.140625" style="500"/>
    <col min="15362" max="15362" width="50.85546875" style="500" bestFit="1" customWidth="1"/>
    <col min="15363" max="15363" width="12.42578125" style="500" customWidth="1"/>
    <col min="15364" max="15364" width="9.5703125" style="500" customWidth="1"/>
    <col min="15365" max="15365" width="12.85546875" style="500" customWidth="1"/>
    <col min="15366" max="15368" width="9.5703125" style="500" customWidth="1"/>
    <col min="15369" max="15369" width="9.140625" style="500"/>
    <col min="15370" max="15370" width="10" style="500" bestFit="1" customWidth="1"/>
    <col min="15371" max="15617" width="9.140625" style="500"/>
    <col min="15618" max="15618" width="50.85546875" style="500" bestFit="1" customWidth="1"/>
    <col min="15619" max="15619" width="12.42578125" style="500" customWidth="1"/>
    <col min="15620" max="15620" width="9.5703125" style="500" customWidth="1"/>
    <col min="15621" max="15621" width="12.85546875" style="500" customWidth="1"/>
    <col min="15622" max="15624" width="9.5703125" style="500" customWidth="1"/>
    <col min="15625" max="15625" width="9.140625" style="500"/>
    <col min="15626" max="15626" width="10" style="500" bestFit="1" customWidth="1"/>
    <col min="15627" max="15873" width="9.140625" style="500"/>
    <col min="15874" max="15874" width="50.85546875" style="500" bestFit="1" customWidth="1"/>
    <col min="15875" max="15875" width="12.42578125" style="500" customWidth="1"/>
    <col min="15876" max="15876" width="9.5703125" style="500" customWidth="1"/>
    <col min="15877" max="15877" width="12.85546875" style="500" customWidth="1"/>
    <col min="15878" max="15880" width="9.5703125" style="500" customWidth="1"/>
    <col min="15881" max="15881" width="9.140625" style="500"/>
    <col min="15882" max="15882" width="10" style="500" bestFit="1" customWidth="1"/>
    <col min="15883" max="16129" width="9.140625" style="500"/>
    <col min="16130" max="16130" width="50.85546875" style="500" bestFit="1" customWidth="1"/>
    <col min="16131" max="16131" width="12.42578125" style="500" customWidth="1"/>
    <col min="16132" max="16132" width="9.5703125" style="500" customWidth="1"/>
    <col min="16133" max="16133" width="12.85546875" style="500" customWidth="1"/>
    <col min="16134" max="16136" width="9.5703125" style="500" customWidth="1"/>
    <col min="16137" max="16137" width="9.140625" style="500"/>
    <col min="16138" max="16138" width="10" style="500" bestFit="1" customWidth="1"/>
    <col min="16139" max="16384" width="9.140625" style="500"/>
  </cols>
  <sheetData>
    <row r="1" spans="1:21" ht="13.5" customHeight="1" x14ac:dyDescent="0.25">
      <c r="A1" s="740"/>
      <c r="B1" s="740"/>
      <c r="C1" s="740"/>
      <c r="D1" s="740"/>
      <c r="E1" s="740"/>
      <c r="F1" s="740"/>
      <c r="G1" s="740"/>
      <c r="H1" s="740"/>
    </row>
    <row r="2" spans="1:21" ht="8.25" customHeight="1" x14ac:dyDescent="0.25">
      <c r="A2" s="740"/>
      <c r="B2" s="739"/>
      <c r="C2" s="739"/>
      <c r="D2" s="739"/>
      <c r="E2" s="739"/>
      <c r="F2" s="739"/>
      <c r="G2" s="739"/>
      <c r="H2" s="740"/>
    </row>
    <row r="3" spans="1:21" ht="26.25" x14ac:dyDescent="0.25">
      <c r="A3" s="741"/>
      <c r="B3" s="116"/>
      <c r="C3" s="1199" t="s">
        <v>137</v>
      </c>
      <c r="D3" s="1199"/>
      <c r="E3" s="1199"/>
      <c r="F3" s="1199"/>
      <c r="G3" s="382"/>
      <c r="H3" s="741"/>
      <c r="K3" s="713"/>
      <c r="L3" s="713"/>
      <c r="M3" s="713"/>
      <c r="N3" s="713"/>
      <c r="U3" s="717"/>
    </row>
    <row r="4" spans="1:21" x14ac:dyDescent="0.25">
      <c r="A4" s="741"/>
      <c r="B4" s="116"/>
      <c r="C4" s="120"/>
      <c r="D4" s="116"/>
      <c r="E4" s="116"/>
      <c r="F4" s="116"/>
      <c r="G4" s="116"/>
      <c r="H4" s="741"/>
      <c r="U4" s="717"/>
    </row>
    <row r="5" spans="1:21" ht="15" customHeight="1" x14ac:dyDescent="0.25">
      <c r="A5" s="741"/>
      <c r="B5" s="116"/>
      <c r="C5" s="1200" t="s">
        <v>703</v>
      </c>
      <c r="D5" s="1200"/>
      <c r="E5" s="1200"/>
      <c r="F5" s="1200"/>
      <c r="G5" s="116"/>
      <c r="H5" s="741"/>
      <c r="U5" s="717"/>
    </row>
    <row r="6" spans="1:21" ht="15" customHeight="1" x14ac:dyDescent="0.25">
      <c r="A6" s="741"/>
      <c r="B6" s="116"/>
      <c r="D6" s="1275" t="s">
        <v>720</v>
      </c>
      <c r="E6" s="1275"/>
      <c r="F6" s="1275"/>
      <c r="G6" s="116"/>
      <c r="H6" s="741"/>
      <c r="U6" s="717"/>
    </row>
    <row r="7" spans="1:21" ht="15" customHeight="1" x14ac:dyDescent="0.25">
      <c r="A7" s="741"/>
      <c r="B7" s="116"/>
      <c r="C7" s="681" t="s">
        <v>136</v>
      </c>
      <c r="D7" s="1266">
        <v>2011</v>
      </c>
      <c r="E7" s="1267"/>
      <c r="F7" s="1268"/>
      <c r="G7" s="116"/>
      <c r="H7" s="741"/>
      <c r="U7" s="717"/>
    </row>
    <row r="8" spans="1:21" ht="15" customHeight="1" x14ac:dyDescent="0.25">
      <c r="A8" s="741"/>
      <c r="B8" s="116"/>
      <c r="C8" s="679" t="s">
        <v>760</v>
      </c>
      <c r="D8" s="678"/>
      <c r="E8" s="678"/>
      <c r="F8" s="678"/>
      <c r="G8" s="116"/>
      <c r="H8" s="741"/>
      <c r="U8" s="717"/>
    </row>
    <row r="9" spans="1:21" ht="15" customHeight="1" x14ac:dyDescent="0.25">
      <c r="A9" s="741"/>
      <c r="B9" s="116"/>
      <c r="C9" s="588" t="s">
        <v>188</v>
      </c>
      <c r="D9" s="1263">
        <v>10000</v>
      </c>
      <c r="E9" s="1264"/>
      <c r="F9" s="1265"/>
      <c r="G9" s="116"/>
      <c r="H9" s="741"/>
      <c r="U9" s="717"/>
    </row>
    <row r="10" spans="1:21" ht="15" customHeight="1" x14ac:dyDescent="0.25">
      <c r="A10" s="741"/>
      <c r="B10" s="116"/>
      <c r="C10" s="588" t="s">
        <v>138</v>
      </c>
      <c r="D10" s="1261">
        <v>0.7</v>
      </c>
      <c r="E10" s="1261"/>
      <c r="F10" s="1261"/>
      <c r="G10" s="116"/>
      <c r="H10" s="741"/>
      <c r="U10" s="717"/>
    </row>
    <row r="11" spans="1:21" ht="15" customHeight="1" x14ac:dyDescent="0.25">
      <c r="A11" s="741"/>
      <c r="B11" s="116"/>
      <c r="C11" s="588" t="s">
        <v>139</v>
      </c>
      <c r="D11" s="1261">
        <v>0.3</v>
      </c>
      <c r="E11" s="1261"/>
      <c r="F11" s="1261"/>
      <c r="G11" s="116"/>
      <c r="H11" s="741"/>
      <c r="U11" s="717"/>
    </row>
    <row r="12" spans="1:21" ht="15" customHeight="1" x14ac:dyDescent="0.25">
      <c r="A12" s="741"/>
      <c r="B12" s="116"/>
      <c r="C12" s="679" t="s">
        <v>140</v>
      </c>
      <c r="D12" s="679"/>
      <c r="E12" s="588"/>
      <c r="F12" s="588"/>
      <c r="G12" s="116"/>
      <c r="H12" s="741"/>
      <c r="U12" s="717"/>
    </row>
    <row r="13" spans="1:21" ht="15" customHeight="1" x14ac:dyDescent="0.25">
      <c r="A13" s="741"/>
      <c r="B13" s="116"/>
      <c r="C13" s="724" t="s">
        <v>141</v>
      </c>
      <c r="D13" s="1261">
        <v>0.2</v>
      </c>
      <c r="E13" s="1261"/>
      <c r="F13" s="1261"/>
      <c r="G13" s="116"/>
      <c r="H13" s="741"/>
      <c r="U13" s="717"/>
    </row>
    <row r="14" spans="1:21" ht="15" customHeight="1" x14ac:dyDescent="0.25">
      <c r="A14" s="741"/>
      <c r="B14" s="116"/>
      <c r="C14" s="724" t="s">
        <v>142</v>
      </c>
      <c r="D14" s="1261">
        <v>0.3</v>
      </c>
      <c r="E14" s="1261"/>
      <c r="F14" s="1261"/>
      <c r="G14" s="116"/>
      <c r="H14" s="741"/>
      <c r="U14" s="717"/>
    </row>
    <row r="15" spans="1:21" ht="15" customHeight="1" x14ac:dyDescent="0.25">
      <c r="A15" s="741"/>
      <c r="B15" s="116"/>
      <c r="C15" s="724" t="s">
        <v>143</v>
      </c>
      <c r="D15" s="1262">
        <v>0.5</v>
      </c>
      <c r="E15" s="1262"/>
      <c r="F15" s="1262"/>
      <c r="G15" s="116"/>
      <c r="H15" s="741"/>
      <c r="U15" s="717"/>
    </row>
    <row r="16" spans="1:21" ht="15" customHeight="1" x14ac:dyDescent="0.25">
      <c r="A16" s="741"/>
      <c r="B16" s="116"/>
      <c r="C16" s="678" t="s">
        <v>152</v>
      </c>
      <c r="D16" s="678"/>
      <c r="E16" s="678"/>
      <c r="F16" s="678"/>
      <c r="G16" s="116"/>
      <c r="H16" s="741"/>
    </row>
    <row r="17" spans="1:8" ht="15" customHeight="1" x14ac:dyDescent="0.25">
      <c r="A17" s="741"/>
      <c r="B17" s="116"/>
      <c r="C17" s="624" t="s">
        <v>153</v>
      </c>
      <c r="D17" s="726">
        <v>0.86</v>
      </c>
      <c r="E17" s="726">
        <v>0.75</v>
      </c>
      <c r="F17" s="468">
        <v>0.41</v>
      </c>
      <c r="G17" s="116"/>
      <c r="H17" s="741"/>
    </row>
    <row r="18" spans="1:8" ht="15" customHeight="1" x14ac:dyDescent="0.25">
      <c r="A18" s="741"/>
      <c r="B18" s="116"/>
      <c r="C18" s="624" t="s">
        <v>0</v>
      </c>
      <c r="D18" s="726">
        <v>0.02</v>
      </c>
      <c r="E18" s="726">
        <v>0.1</v>
      </c>
      <c r="F18" s="468">
        <v>0.3</v>
      </c>
      <c r="G18" s="116"/>
      <c r="H18" s="741"/>
    </row>
    <row r="19" spans="1:8" ht="14.25" customHeight="1" x14ac:dyDescent="0.25">
      <c r="A19" s="741"/>
      <c r="B19" s="116"/>
      <c r="C19" s="624" t="s">
        <v>154</v>
      </c>
      <c r="D19" s="726">
        <v>0.12</v>
      </c>
      <c r="E19" s="726">
        <v>0.15</v>
      </c>
      <c r="F19" s="468">
        <v>0.28999999999999998</v>
      </c>
      <c r="G19" s="116"/>
      <c r="H19" s="741"/>
    </row>
    <row r="20" spans="1:8" ht="15" customHeight="1" x14ac:dyDescent="0.25">
      <c r="A20" s="741"/>
      <c r="B20" s="116"/>
      <c r="C20" s="185"/>
      <c r="D20" s="722"/>
      <c r="E20" s="722"/>
      <c r="F20" s="722"/>
      <c r="G20" s="116"/>
      <c r="H20" s="741"/>
    </row>
    <row r="21" spans="1:8" ht="10.5" customHeight="1" x14ac:dyDescent="0.25">
      <c r="A21" s="741"/>
      <c r="B21" s="116"/>
      <c r="C21" s="715" t="s">
        <v>759</v>
      </c>
      <c r="D21" s="118"/>
      <c r="E21" s="118"/>
      <c r="F21" s="118"/>
      <c r="G21" s="121"/>
      <c r="H21" s="741"/>
    </row>
    <row r="22" spans="1:8" ht="15" customHeight="1" x14ac:dyDescent="0.25">
      <c r="A22" s="741"/>
      <c r="B22" s="116"/>
      <c r="C22" s="719" t="s">
        <v>144</v>
      </c>
      <c r="D22" s="697" t="s">
        <v>141</v>
      </c>
      <c r="E22" s="697" t="s">
        <v>142</v>
      </c>
      <c r="F22" s="697" t="s">
        <v>143</v>
      </c>
      <c r="G22" s="121"/>
      <c r="H22" s="741"/>
    </row>
    <row r="23" spans="1:8" ht="15" customHeight="1" x14ac:dyDescent="0.25">
      <c r="A23" s="741"/>
      <c r="B23" s="116"/>
      <c r="C23" s="712" t="s">
        <v>145</v>
      </c>
      <c r="D23" s="629">
        <v>0.1</v>
      </c>
      <c r="E23" s="629">
        <v>0.1</v>
      </c>
      <c r="F23" s="703">
        <v>0.2</v>
      </c>
      <c r="G23" s="116"/>
      <c r="H23" s="741"/>
    </row>
    <row r="24" spans="1:8" ht="15" customHeight="1" x14ac:dyDescent="0.25">
      <c r="A24" s="741"/>
      <c r="B24" s="116"/>
      <c r="C24" s="712" t="s">
        <v>146</v>
      </c>
      <c r="D24" s="629">
        <v>0</v>
      </c>
      <c r="E24" s="629">
        <v>0</v>
      </c>
      <c r="F24" s="703">
        <v>0.1</v>
      </c>
      <c r="G24" s="116"/>
      <c r="H24" s="741"/>
    </row>
    <row r="25" spans="1:8" ht="15" customHeight="1" x14ac:dyDescent="0.25">
      <c r="A25" s="741"/>
      <c r="B25" s="116"/>
      <c r="C25" s="719" t="s">
        <v>147</v>
      </c>
      <c r="D25" s="738"/>
      <c r="E25" s="588"/>
      <c r="F25" s="588"/>
      <c r="G25" s="116"/>
      <c r="H25" s="741"/>
    </row>
    <row r="26" spans="1:8" ht="15" customHeight="1" x14ac:dyDescent="0.25">
      <c r="A26" s="741"/>
      <c r="B26" s="116"/>
      <c r="C26" s="712" t="s">
        <v>148</v>
      </c>
      <c r="D26" s="670">
        <v>0</v>
      </c>
      <c r="E26" s="670">
        <v>0.5</v>
      </c>
      <c r="F26" s="670">
        <v>1</v>
      </c>
      <c r="G26" s="727"/>
      <c r="H26" s="741"/>
    </row>
    <row r="27" spans="1:8" ht="11.25" customHeight="1" x14ac:dyDescent="0.25">
      <c r="A27" s="741"/>
      <c r="B27" s="116"/>
      <c r="C27" s="121"/>
      <c r="D27" s="673"/>
      <c r="E27" s="714"/>
      <c r="F27" s="714"/>
      <c r="G27" s="118"/>
      <c r="H27" s="741"/>
    </row>
    <row r="28" spans="1:8" ht="15" customHeight="1" x14ac:dyDescent="0.25">
      <c r="A28" s="741"/>
      <c r="B28" s="116"/>
      <c r="C28" s="715" t="s">
        <v>888</v>
      </c>
      <c r="D28" s="673"/>
      <c r="E28" s="714"/>
      <c r="F28" s="714"/>
      <c r="G28" s="116"/>
      <c r="H28" s="741"/>
    </row>
    <row r="29" spans="1:8" ht="23.25" customHeight="1" x14ac:dyDescent="0.25">
      <c r="A29" s="741"/>
      <c r="B29" s="116"/>
      <c r="C29" s="719" t="s">
        <v>144</v>
      </c>
      <c r="D29" s="697" t="s">
        <v>141</v>
      </c>
      <c r="E29" s="697" t="s">
        <v>142</v>
      </c>
      <c r="F29" s="697" t="s">
        <v>143</v>
      </c>
      <c r="G29" s="116"/>
      <c r="H29" s="741"/>
    </row>
    <row r="30" spans="1:8" ht="15" customHeight="1" x14ac:dyDescent="0.25">
      <c r="A30" s="741"/>
      <c r="B30" s="116"/>
      <c r="C30" s="712" t="s">
        <v>149</v>
      </c>
      <c r="D30" s="1021">
        <v>0.1</v>
      </c>
      <c r="E30" s="1021">
        <v>0.4</v>
      </c>
      <c r="F30" s="1022">
        <v>0.6</v>
      </c>
      <c r="G30" s="116"/>
      <c r="H30" s="741"/>
    </row>
    <row r="31" spans="1:8" ht="15" customHeight="1" x14ac:dyDescent="0.25">
      <c r="A31" s="741"/>
      <c r="B31" s="116"/>
      <c r="C31" s="712" t="s">
        <v>150</v>
      </c>
      <c r="D31" s="1021">
        <v>0.05</v>
      </c>
      <c r="E31" s="1021">
        <v>0.1</v>
      </c>
      <c r="F31" s="1022">
        <v>0.3</v>
      </c>
      <c r="G31" s="116"/>
      <c r="H31" s="741"/>
    </row>
    <row r="32" spans="1:8" ht="15" customHeight="1" x14ac:dyDescent="0.25">
      <c r="A32" s="741"/>
      <c r="B32" s="116"/>
      <c r="C32" s="719" t="s">
        <v>151</v>
      </c>
      <c r="D32" s="738"/>
      <c r="E32" s="588"/>
      <c r="F32" s="588"/>
      <c r="G32" s="116"/>
      <c r="H32" s="741"/>
    </row>
    <row r="33" spans="1:21" ht="15" customHeight="1" x14ac:dyDescent="0.25">
      <c r="A33" s="741"/>
      <c r="B33" s="116"/>
      <c r="C33" s="712" t="s">
        <v>148</v>
      </c>
      <c r="D33" s="1023">
        <v>1</v>
      </c>
      <c r="E33" s="1023">
        <v>2</v>
      </c>
      <c r="F33" s="1023">
        <v>5</v>
      </c>
      <c r="G33" s="727"/>
      <c r="H33" s="741"/>
    </row>
    <row r="34" spans="1:21" ht="15" customHeight="1" x14ac:dyDescent="0.25">
      <c r="A34" s="741"/>
      <c r="B34" s="116"/>
      <c r="C34" s="116"/>
      <c r="D34" s="116"/>
      <c r="E34" s="116"/>
      <c r="F34" s="116"/>
      <c r="G34" s="116"/>
      <c r="H34" s="741"/>
    </row>
    <row r="35" spans="1:21" ht="14.25" customHeight="1" x14ac:dyDescent="0.25">
      <c r="A35" s="741"/>
      <c r="B35" s="116"/>
      <c r="C35" s="1200" t="s">
        <v>702</v>
      </c>
      <c r="D35" s="1200"/>
      <c r="E35" s="1200"/>
      <c r="F35" s="1200"/>
      <c r="G35" s="116"/>
      <c r="H35" s="741"/>
    </row>
    <row r="36" spans="1:21" ht="14.25" customHeight="1" x14ac:dyDescent="0.25">
      <c r="A36" s="741"/>
      <c r="B36" s="116"/>
      <c r="C36" s="121"/>
      <c r="D36" s="119"/>
      <c r="E36" s="122"/>
      <c r="F36" s="122"/>
      <c r="G36" s="116"/>
      <c r="H36" s="741"/>
    </row>
    <row r="37" spans="1:21" ht="15" customHeight="1" x14ac:dyDescent="0.25">
      <c r="A37" s="741"/>
      <c r="B37" s="116"/>
      <c r="C37" s="588" t="s">
        <v>189</v>
      </c>
      <c r="D37" s="1269">
        <v>10</v>
      </c>
      <c r="E37" s="1269"/>
      <c r="F37" s="1269"/>
      <c r="G37" s="116"/>
      <c r="H37" s="741"/>
    </row>
    <row r="38" spans="1:21" ht="15" customHeight="1" x14ac:dyDescent="0.25">
      <c r="A38" s="741"/>
      <c r="B38" s="116"/>
      <c r="C38" s="588" t="s">
        <v>155</v>
      </c>
      <c r="D38" s="1269">
        <v>250</v>
      </c>
      <c r="E38" s="1269"/>
      <c r="F38" s="1269"/>
      <c r="G38" s="116"/>
      <c r="H38" s="741"/>
    </row>
    <row r="39" spans="1:21" ht="15" customHeight="1" x14ac:dyDescent="0.25">
      <c r="A39" s="741"/>
      <c r="B39" s="116"/>
      <c r="C39" s="588" t="s">
        <v>156</v>
      </c>
      <c r="D39" s="1269">
        <v>2.25</v>
      </c>
      <c r="E39" s="1269"/>
      <c r="F39" s="1269"/>
      <c r="G39" s="116"/>
      <c r="H39" s="741"/>
    </row>
    <row r="40" spans="1:21" ht="15" customHeight="1" x14ac:dyDescent="0.25">
      <c r="A40" s="741"/>
      <c r="B40" s="117"/>
      <c r="C40" s="118"/>
      <c r="D40" s="118"/>
      <c r="E40" s="118"/>
      <c r="F40" s="118"/>
      <c r="G40" s="116"/>
      <c r="H40" s="741"/>
    </row>
    <row r="41" spans="1:21" ht="15" customHeight="1" x14ac:dyDescent="0.25">
      <c r="A41" s="741"/>
      <c r="B41" s="117"/>
      <c r="C41" s="353" t="s">
        <v>2</v>
      </c>
      <c r="D41" s="721">
        <v>2010</v>
      </c>
      <c r="E41" s="721">
        <v>2020</v>
      </c>
      <c r="F41" s="721">
        <f>D7</f>
        <v>2011</v>
      </c>
      <c r="G41" s="117"/>
      <c r="H41" s="741"/>
    </row>
    <row r="42" spans="1:21" ht="15" customHeight="1" x14ac:dyDescent="0.25">
      <c r="A42" s="741"/>
      <c r="B42" s="117"/>
      <c r="C42" s="362" t="s">
        <v>348</v>
      </c>
      <c r="D42" s="14">
        <f>'2010ER'!I11</f>
        <v>399.0632574243163</v>
      </c>
      <c r="E42" s="14">
        <f>'2020ER'!I11</f>
        <v>341.41853931409429</v>
      </c>
      <c r="F42" s="14">
        <f>TREND(D42:E42,$D$41:$E$41,$F$41)</f>
        <v>393.29878561329497</v>
      </c>
      <c r="G42" s="117"/>
      <c r="H42" s="741"/>
    </row>
    <row r="43" spans="1:21" ht="15" customHeight="1" x14ac:dyDescent="0.25">
      <c r="A43" s="741"/>
      <c r="B43" s="117"/>
      <c r="C43" s="362" t="s">
        <v>351</v>
      </c>
      <c r="D43" s="14">
        <f>'2010ER'!I27</f>
        <v>0.66317418612440482</v>
      </c>
      <c r="E43" s="14">
        <f>'2020ER'!I27</f>
        <v>0.21441608708446888</v>
      </c>
      <c r="F43" s="14">
        <f>TREND(D43:E43,$D$41:$E$41,$F$41)</f>
        <v>0.61829837622040884</v>
      </c>
      <c r="G43" s="117"/>
      <c r="H43" s="741"/>
    </row>
    <row r="44" spans="1:21" ht="15" customHeight="1" x14ac:dyDescent="0.25">
      <c r="A44" s="741"/>
      <c r="B44" s="117"/>
      <c r="C44" s="362" t="s">
        <v>377</v>
      </c>
      <c r="D44" s="14">
        <f>'2010ER'!I43</f>
        <v>1.9379311111124203E-2</v>
      </c>
      <c r="E44" s="14">
        <f>'2020ER'!I43</f>
        <v>1.310035453112551E-2</v>
      </c>
      <c r="F44" s="14">
        <f>TREND(D44:E44,$D$41:$E$41,$F$41)</f>
        <v>1.8751415453124309E-2</v>
      </c>
      <c r="G44" s="117"/>
      <c r="H44" s="741"/>
    </row>
    <row r="45" spans="1:21" ht="15" customHeight="1" x14ac:dyDescent="0.25">
      <c r="A45" s="741"/>
      <c r="B45" s="116"/>
      <c r="C45" s="362" t="s">
        <v>350</v>
      </c>
      <c r="D45" s="14">
        <f>'2010ER'!I59</f>
        <v>0.63634670338630683</v>
      </c>
      <c r="E45" s="14">
        <f>'2020ER'!I59</f>
        <v>0.2086373836848078</v>
      </c>
      <c r="F45" s="14">
        <f>TREND(D45:E45,$D$41:$E$41,$F$41)</f>
        <v>0.59357577141615536</v>
      </c>
      <c r="G45" s="117"/>
      <c r="H45" s="741"/>
    </row>
    <row r="46" spans="1:21" s="737" customFormat="1" ht="15" customHeight="1" x14ac:dyDescent="0.25">
      <c r="A46" s="741"/>
      <c r="B46" s="116"/>
      <c r="C46" s="362" t="s">
        <v>349</v>
      </c>
      <c r="D46" s="14">
        <f>'2010ER'!I75</f>
        <v>0.24536793067196902</v>
      </c>
      <c r="E46" s="14">
        <f>'2020ER'!I75</f>
        <v>7.8435627739216918E-2</v>
      </c>
      <c r="F46" s="14">
        <f>TREND(D46:E46,$D$41:$E$41,$F$41)</f>
        <v>0.22867470037868998</v>
      </c>
      <c r="G46" s="185"/>
      <c r="H46" s="741"/>
      <c r="U46" s="500"/>
    </row>
    <row r="47" spans="1:21" s="737" customFormat="1" ht="15" customHeight="1" x14ac:dyDescent="0.25">
      <c r="A47" s="741"/>
      <c r="B47" s="118"/>
      <c r="C47" s="118"/>
      <c r="D47" s="118"/>
      <c r="E47" s="118"/>
      <c r="F47" s="118"/>
      <c r="G47" s="116"/>
      <c r="H47" s="741"/>
    </row>
    <row r="48" spans="1:21" s="737" customFormat="1" ht="15" customHeight="1" x14ac:dyDescent="0.25">
      <c r="A48" s="741"/>
      <c r="B48" s="118"/>
      <c r="C48" s="1200" t="s">
        <v>700</v>
      </c>
      <c r="D48" s="1200"/>
      <c r="E48" s="1200"/>
      <c r="F48" s="1200"/>
      <c r="G48" s="116"/>
      <c r="H48" s="741"/>
    </row>
    <row r="49" spans="1:21" s="737" customFormat="1" ht="15" customHeight="1" x14ac:dyDescent="0.25">
      <c r="A49" s="741"/>
      <c r="B49" s="118"/>
      <c r="C49" s="720" t="s">
        <v>711</v>
      </c>
      <c r="D49" s="720" t="s">
        <v>141</v>
      </c>
      <c r="E49" s="720" t="s">
        <v>142</v>
      </c>
      <c r="F49" s="720" t="s">
        <v>143</v>
      </c>
      <c r="G49" s="118"/>
      <c r="H49" s="741"/>
    </row>
    <row r="50" spans="1:21" s="737" customFormat="1" ht="15" customHeight="1" x14ac:dyDescent="0.25">
      <c r="A50" s="741"/>
      <c r="B50" s="116"/>
      <c r="C50" s="588" t="s">
        <v>157</v>
      </c>
      <c r="D50" s="725">
        <f>((D18/(D18+D19))*IF(D26&lt;0.5,0,VLOOKUP(D26,OtherVariables!$A$347:$G$357,3)))+((D19/(D18+D19))*IF(D26&lt;0.5,0,VLOOKUP(D26,OtherVariables!$A$347:$G$357,2)))</f>
        <v>0</v>
      </c>
      <c r="E50" s="725">
        <f>((E18/(E18+E19))*IF(E26&lt;0.5,0,VLOOKUP(E26,OtherVariables!$A$347:$G$357,5)))+((E19/(E18+E19))*IF(E26&lt;0.5,0,VLOOKUP(E26,OtherVariables!$A$347:$G$357,4)))</f>
        <v>1.7100000000000011E-2</v>
      </c>
      <c r="F50" s="725">
        <f>((F18/(F18+F19))*IF(F26&lt;0.5,0,VLOOKUP(F26,OtherVariables!$A$347:$G$357,7)))+((F19/(F18+F19))*IF(F26&lt;0.5,0,VLOOKUP(F26,OtherVariables!$A$347:$G$357,6)))</f>
        <v>0.11513559322033898</v>
      </c>
      <c r="G50" s="118"/>
      <c r="H50" s="741"/>
    </row>
    <row r="51" spans="1:21" ht="15" customHeight="1" x14ac:dyDescent="0.25">
      <c r="A51" s="741"/>
      <c r="B51" s="116"/>
      <c r="C51" s="588" t="s">
        <v>158</v>
      </c>
      <c r="D51" s="976">
        <f>((D18/(D18+D19))*IF(D33&lt;0.5,0,VLOOKUP(D33,OtherVariables!$A$347:$G$357,3)))+((D19/(D18+D19))*IF(D33&lt;0.5,0,VLOOKUP(D33,OtherVariables!$A$347:$G$357,2)))</f>
        <v>7.7142857142857152E-3</v>
      </c>
      <c r="E51" s="976">
        <f>((E18/(E18+E19))*IF(E33&lt;0.5,0,VLOOKUP(E33,OtherVariables!$A$347:$G$357,5)))+((E19/(E18+E19))*IF(E33&lt;0.5,0,VLOOKUP(E33,OtherVariables!$A$347:$G$357,4)))</f>
        <v>0.1288</v>
      </c>
      <c r="F51" s="976">
        <f>((F18/(F18+F19))*IF(F33&lt;0.5,0,VLOOKUP(F33,OtherVariables!$A$347:$G$357,7)))+((F19/(F18+F19))*IF(F33&lt;0.5,0,VLOOKUP(F33,OtherVariables!$A$347:$G$357,6)))</f>
        <v>0.58161016949152544</v>
      </c>
      <c r="G51" s="118"/>
      <c r="H51" s="741"/>
      <c r="U51" s="737"/>
    </row>
    <row r="52" spans="1:21" x14ac:dyDescent="0.25">
      <c r="A52" s="741"/>
      <c r="B52" s="116"/>
      <c r="C52" s="588" t="s">
        <v>185</v>
      </c>
      <c r="D52" s="730">
        <f>D9*D13*D17*D37</f>
        <v>17200</v>
      </c>
      <c r="E52" s="659">
        <f>D9*D14*E17*D37</f>
        <v>22500</v>
      </c>
      <c r="F52" s="659">
        <f>D9*D15*F17*D37</f>
        <v>20500</v>
      </c>
      <c r="G52" s="116"/>
      <c r="H52" s="741"/>
    </row>
    <row r="53" spans="1:21" ht="15" customHeight="1" x14ac:dyDescent="0.25">
      <c r="A53" s="741"/>
      <c r="B53" s="116"/>
      <c r="C53" s="588" t="s">
        <v>186</v>
      </c>
      <c r="D53" s="730">
        <f>(D52*(((D23*$D$10)+(D24*$D$11))/1))*D50</f>
        <v>0</v>
      </c>
      <c r="E53" s="730">
        <f>(E52*(((E23*$D$10)+(E24*$D$11))/1))*E50</f>
        <v>26.932500000000015</v>
      </c>
      <c r="F53" s="730">
        <f>(F52*(((F23*$D$10)+(F24*$D$11))/1))*F50</f>
        <v>401.2475423728813</v>
      </c>
      <c r="G53" s="116"/>
      <c r="H53" s="741"/>
    </row>
    <row r="54" spans="1:21" x14ac:dyDescent="0.25">
      <c r="A54" s="741"/>
      <c r="B54" s="116"/>
      <c r="C54" s="588" t="s">
        <v>187</v>
      </c>
      <c r="D54" s="730">
        <f>(D52*(((D30*$D$10)+(D31*$D$11))/1))*D51</f>
        <v>11.278285714285714</v>
      </c>
      <c r="E54" s="730">
        <f>(E52*(((E30*$D$10)+(E31*$D$11))/1))*E51</f>
        <v>898.37999999999988</v>
      </c>
      <c r="F54" s="730">
        <f>(F52*(((F30*$D$10)+(F31*$D$11))/1))*F51</f>
        <v>6080.7343220338989</v>
      </c>
      <c r="G54" s="116"/>
      <c r="H54" s="741"/>
    </row>
    <row r="55" spans="1:21" ht="9" customHeight="1" x14ac:dyDescent="0.25">
      <c r="A55" s="741"/>
      <c r="B55" s="116"/>
      <c r="C55" s="118"/>
      <c r="D55" s="118"/>
      <c r="E55" s="118"/>
      <c r="F55" s="118"/>
      <c r="G55" s="116"/>
      <c r="H55" s="741"/>
    </row>
    <row r="56" spans="1:21" x14ac:dyDescent="0.25">
      <c r="A56" s="741"/>
      <c r="B56" s="116"/>
      <c r="C56" s="681" t="str">
        <f>"Total Incremental VMT Reduction - Daily ("&amp;$D$7&amp;")"</f>
        <v>Total Incremental VMT Reduction - Daily (2011)</v>
      </c>
      <c r="D56" s="1274">
        <f>(D54+E54+F54)-(D53+E53+F53)</f>
        <v>6562.2125653753037</v>
      </c>
      <c r="E56" s="1274"/>
      <c r="F56" s="1274"/>
      <c r="G56" s="116"/>
      <c r="H56" s="741"/>
    </row>
    <row r="57" spans="1:21" ht="15" customHeight="1" x14ac:dyDescent="0.25">
      <c r="A57" s="741"/>
      <c r="B57" s="116"/>
      <c r="C57" s="116"/>
      <c r="D57" s="116"/>
      <c r="E57" s="116"/>
      <c r="F57" s="116"/>
      <c r="G57" s="116"/>
      <c r="H57" s="741"/>
    </row>
    <row r="58" spans="1:21" ht="15" customHeight="1" x14ac:dyDescent="0.25">
      <c r="A58" s="741"/>
      <c r="B58" s="116"/>
      <c r="C58" s="1197" t="s">
        <v>701</v>
      </c>
      <c r="D58" s="1197"/>
      <c r="E58" s="1197"/>
      <c r="F58" s="1197"/>
      <c r="G58" s="116"/>
      <c r="H58" s="741"/>
    </row>
    <row r="59" spans="1:21" ht="15" customHeight="1" thickBot="1" x14ac:dyDescent="0.3">
      <c r="A59" s="741"/>
      <c r="B59" s="302"/>
      <c r="C59" s="742" t="s">
        <v>990</v>
      </c>
      <c r="D59" s="742"/>
      <c r="E59" s="742"/>
      <c r="F59" s="742"/>
      <c r="G59" s="116"/>
      <c r="H59" s="741"/>
    </row>
    <row r="60" spans="1:21" ht="15" customHeight="1" x14ac:dyDescent="0.25">
      <c r="A60" s="741"/>
      <c r="B60" s="332"/>
      <c r="C60" s="723"/>
      <c r="D60" s="734" t="s">
        <v>124</v>
      </c>
      <c r="E60" s="1276" t="s">
        <v>360</v>
      </c>
      <c r="F60" s="1277"/>
      <c r="G60"/>
      <c r="H60" s="741"/>
    </row>
    <row r="61" spans="1:21" ht="15" customHeight="1" thickBot="1" x14ac:dyDescent="0.3">
      <c r="A61" s="741"/>
      <c r="B61" s="333"/>
      <c r="C61" s="729"/>
      <c r="D61" s="735" t="str">
        <f>"Total Incremental VMT Reduction - Annual ("&amp;$D$7&amp;")"</f>
        <v>Total Incremental VMT Reduction - Annual (2011)</v>
      </c>
      <c r="E61" s="1278">
        <f>D56*D38</f>
        <v>1640553.141343826</v>
      </c>
      <c r="F61" s="1279"/>
      <c r="G61"/>
      <c r="H61" s="741"/>
    </row>
    <row r="62" spans="1:21" ht="15" customHeight="1" thickBot="1" x14ac:dyDescent="0.3">
      <c r="A62" s="741"/>
      <c r="B62" s="5"/>
      <c r="C62" s="732"/>
      <c r="D62" s="728"/>
      <c r="E62" s="733"/>
      <c r="F62" s="733"/>
      <c r="G62" s="3"/>
      <c r="H62" s="741"/>
    </row>
    <row r="63" spans="1:21" s="294" customFormat="1" x14ac:dyDescent="0.25">
      <c r="A63" s="741"/>
      <c r="B63" s="563"/>
      <c r="C63" s="723"/>
      <c r="D63" s="802" t="s">
        <v>817</v>
      </c>
      <c r="E63" s="1280">
        <f>$E$61*F42</f>
        <v>645227558.22460306</v>
      </c>
      <c r="F63" s="1281"/>
      <c r="G63" s="5"/>
      <c r="H63" s="741"/>
      <c r="S63" s="500"/>
    </row>
    <row r="64" spans="1:21" s="294" customFormat="1" x14ac:dyDescent="0.25">
      <c r="A64" s="741"/>
      <c r="B64" s="563"/>
      <c r="C64" s="729"/>
      <c r="D64" s="330" t="s">
        <v>818</v>
      </c>
      <c r="E64" s="1280">
        <f>$E$61*F43</f>
        <v>1014351.3433961784</v>
      </c>
      <c r="F64" s="1281"/>
      <c r="G64" s="116"/>
      <c r="H64" s="741"/>
      <c r="S64" s="500"/>
    </row>
    <row r="65" spans="1:21" s="294" customFormat="1" x14ac:dyDescent="0.25">
      <c r="A65" s="741"/>
      <c r="B65" s="563"/>
      <c r="C65" s="729"/>
      <c r="D65" s="803" t="s">
        <v>819</v>
      </c>
      <c r="E65" s="1280">
        <f>$E$61*F44</f>
        <v>30762.693526266248</v>
      </c>
      <c r="F65" s="1281"/>
      <c r="G65" s="116"/>
      <c r="H65" s="741"/>
    </row>
    <row r="66" spans="1:21" s="692" customFormat="1" x14ac:dyDescent="0.25">
      <c r="A66" s="741"/>
      <c r="B66" s="563"/>
      <c r="C66" s="729"/>
      <c r="D66" s="803" t="s">
        <v>820</v>
      </c>
      <c r="E66" s="1280">
        <f>$E$61*F45</f>
        <v>973792.59642235842</v>
      </c>
      <c r="F66" s="1281"/>
      <c r="G66" s="116"/>
      <c r="H66" s="741"/>
      <c r="U66" s="294"/>
    </row>
    <row r="67" spans="1:21" ht="15.75" thickBot="1" x14ac:dyDescent="0.3">
      <c r="A67" s="741"/>
      <c r="B67" s="563"/>
      <c r="C67" s="660"/>
      <c r="D67" s="330" t="s">
        <v>821</v>
      </c>
      <c r="E67" s="1282">
        <f>$E$61*F46</f>
        <v>375152.99805211806</v>
      </c>
      <c r="F67" s="1283"/>
      <c r="G67" s="116"/>
      <c r="H67" s="741"/>
      <c r="U67" s="692"/>
    </row>
    <row r="68" spans="1:21" x14ac:dyDescent="0.25">
      <c r="A68" s="741"/>
      <c r="B68" s="563"/>
      <c r="C68" s="723"/>
      <c r="D68" s="329" t="s">
        <v>974</v>
      </c>
      <c r="E68" s="1284">
        <f>(E63*0.00000110231)/$D$38</f>
        <v>2.844963158826249</v>
      </c>
      <c r="F68" s="1285"/>
      <c r="G68" s="116"/>
      <c r="H68" s="741"/>
    </row>
    <row r="69" spans="1:21" x14ac:dyDescent="0.25">
      <c r="A69" s="741"/>
      <c r="B69" s="332"/>
      <c r="C69" s="729"/>
      <c r="D69" s="330" t="s">
        <v>975</v>
      </c>
      <c r="E69" s="1270">
        <f t="shared" ref="E69:E72" si="0">(E64*0.00000110231)/$D$38</f>
        <v>4.4725185173561657E-3</v>
      </c>
      <c r="F69" s="1271"/>
      <c r="G69" s="116"/>
      <c r="H69" s="741"/>
    </row>
    <row r="70" spans="1:21" x14ac:dyDescent="0.25">
      <c r="A70" s="741"/>
      <c r="B70" s="332"/>
      <c r="C70" s="729"/>
      <c r="D70" s="330" t="s">
        <v>976</v>
      </c>
      <c r="E70" s="1270">
        <f t="shared" si="0"/>
        <v>1.3564009880375418E-4</v>
      </c>
      <c r="F70" s="1271"/>
      <c r="G70"/>
      <c r="H70" s="741"/>
    </row>
    <row r="71" spans="1:21" x14ac:dyDescent="0.25">
      <c r="A71" s="741"/>
      <c r="B71" s="332"/>
      <c r="C71" s="729"/>
      <c r="D71" s="330" t="s">
        <v>977</v>
      </c>
      <c r="E71" s="1270">
        <f t="shared" si="0"/>
        <v>4.2936852678493193E-3</v>
      </c>
      <c r="F71" s="1271"/>
      <c r="G71"/>
      <c r="H71" s="741"/>
    </row>
    <row r="72" spans="1:21" ht="15.75" thickBot="1" x14ac:dyDescent="0.3">
      <c r="A72" s="741"/>
      <c r="B72" s="332"/>
      <c r="C72" s="660"/>
      <c r="D72" s="331" t="s">
        <v>978</v>
      </c>
      <c r="E72" s="1272">
        <f t="shared" si="0"/>
        <v>1.6541396051313211E-3</v>
      </c>
      <c r="F72" s="1273"/>
      <c r="G72"/>
      <c r="H72" s="741"/>
    </row>
    <row r="73" spans="1:21" s="294" customFormat="1" x14ac:dyDescent="0.25">
      <c r="A73" s="741"/>
      <c r="B73" s="302"/>
      <c r="C73" s="116"/>
      <c r="D73" s="116"/>
      <c r="E73" s="731"/>
      <c r="F73" s="622"/>
      <c r="G73" s="1"/>
      <c r="H73" s="741"/>
      <c r="U73" s="500"/>
    </row>
    <row r="74" spans="1:21" s="294" customFormat="1" ht="9.75" customHeight="1" x14ac:dyDescent="0.25">
      <c r="A74" s="741"/>
      <c r="B74" s="741"/>
      <c r="C74" s="741"/>
      <c r="D74" s="741"/>
      <c r="E74" s="741"/>
      <c r="F74" s="741"/>
      <c r="G74" s="741"/>
      <c r="H74" s="741"/>
    </row>
    <row r="75" spans="1:21" s="294" customFormat="1" ht="12" customHeight="1" x14ac:dyDescent="0.25">
      <c r="A75" s="500"/>
      <c r="B75" s="500"/>
      <c r="C75" s="500"/>
      <c r="D75" s="500"/>
      <c r="E75" s="500"/>
      <c r="F75" s="328"/>
      <c r="G75" s="328"/>
      <c r="H75" s="328"/>
    </row>
    <row r="76" spans="1:21" s="294" customFormat="1" ht="11.25" customHeight="1" x14ac:dyDescent="0.25">
      <c r="A76" s="500"/>
      <c r="B76" s="500"/>
      <c r="C76" s="500"/>
      <c r="D76" s="500"/>
      <c r="E76" s="500"/>
      <c r="F76" s="500"/>
      <c r="G76" s="500"/>
      <c r="H76" s="328"/>
      <c r="I76" s="328"/>
      <c r="J76" s="328"/>
      <c r="K76" s="328"/>
    </row>
    <row r="77" spans="1:21" s="294" customFormat="1" x14ac:dyDescent="0.25">
      <c r="A77" s="500"/>
      <c r="B77" s="500"/>
      <c r="C77" s="500"/>
      <c r="D77" s="500"/>
      <c r="E77" s="500"/>
      <c r="F77" s="500"/>
      <c r="G77" s="500"/>
      <c r="H77" s="500"/>
      <c r="I77" s="328"/>
      <c r="J77" s="328"/>
      <c r="K77" s="328"/>
    </row>
    <row r="78" spans="1:21" s="294" customFormat="1" x14ac:dyDescent="0.25">
      <c r="A78" s="500"/>
      <c r="B78" s="500"/>
      <c r="C78" s="500"/>
      <c r="D78" s="500"/>
      <c r="E78" s="500"/>
      <c r="F78" s="500"/>
      <c r="G78" s="500"/>
      <c r="H78" s="500"/>
      <c r="I78" s="328"/>
      <c r="J78" s="328"/>
      <c r="K78" s="328"/>
    </row>
    <row r="79" spans="1:21" x14ac:dyDescent="0.25">
      <c r="U79" s="294"/>
    </row>
  </sheetData>
  <mergeCells count="29">
    <mergeCell ref="E69:F69"/>
    <mergeCell ref="E70:F70"/>
    <mergeCell ref="E71:F71"/>
    <mergeCell ref="E72:F72"/>
    <mergeCell ref="C3:F3"/>
    <mergeCell ref="D56:F56"/>
    <mergeCell ref="C58:F58"/>
    <mergeCell ref="D6:F6"/>
    <mergeCell ref="E60:F60"/>
    <mergeCell ref="E61:F61"/>
    <mergeCell ref="E63:F63"/>
    <mergeCell ref="E64:F64"/>
    <mergeCell ref="E65:F65"/>
    <mergeCell ref="E66:F66"/>
    <mergeCell ref="E67:F67"/>
    <mergeCell ref="E68:F68"/>
    <mergeCell ref="D14:F14"/>
    <mergeCell ref="D15:F15"/>
    <mergeCell ref="C48:F48"/>
    <mergeCell ref="C5:F5"/>
    <mergeCell ref="D9:F9"/>
    <mergeCell ref="D10:F10"/>
    <mergeCell ref="D11:F11"/>
    <mergeCell ref="D13:F13"/>
    <mergeCell ref="D7:F7"/>
    <mergeCell ref="C35:F35"/>
    <mergeCell ref="D37:F37"/>
    <mergeCell ref="D38:F38"/>
    <mergeCell ref="D39:F39"/>
  </mergeCells>
  <pageMargins left="0.75" right="0.75" top="0.5" bottom="0.5" header="0.5" footer="0.5"/>
  <pageSetup scale="48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OtherVariables!$I$121:$I$131</xm:f>
          </x14:formula1>
          <xm:sqref>D7:F7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X59"/>
  <sheetViews>
    <sheetView showGridLines="0" zoomScale="85" zoomScaleNormal="85" workbookViewId="0">
      <selection activeCell="F19" sqref="F19"/>
    </sheetView>
  </sheetViews>
  <sheetFormatPr defaultRowHeight="15" x14ac:dyDescent="0.25"/>
  <cols>
    <col min="1" max="1" width="2.42578125" style="294" customWidth="1"/>
    <col min="2" max="2" width="1.7109375" style="294" customWidth="1"/>
    <col min="3" max="3" width="84.85546875" style="294" bestFit="1" customWidth="1"/>
    <col min="4" max="4" width="18" style="294" hidden="1" customWidth="1"/>
    <col min="5" max="5" width="16.28515625" style="294" hidden="1" customWidth="1"/>
    <col min="6" max="6" width="28.7109375" style="294" customWidth="1"/>
    <col min="7" max="7" width="1.7109375" style="294" customWidth="1"/>
    <col min="8" max="8" width="2.28515625" style="294" customWidth="1"/>
    <col min="9" max="9" width="9.140625" style="294"/>
    <col min="10" max="10" width="11.5703125" style="294" bestFit="1" customWidth="1"/>
    <col min="11" max="16384" width="9.140625" style="294"/>
  </cols>
  <sheetData>
    <row r="1" spans="1:24" ht="10.5" customHeight="1" x14ac:dyDescent="0.25">
      <c r="A1" s="649"/>
      <c r="B1" s="649"/>
      <c r="C1" s="649"/>
      <c r="D1" s="649"/>
      <c r="E1" s="649"/>
      <c r="F1" s="649"/>
      <c r="G1" s="649"/>
      <c r="H1" s="649"/>
    </row>
    <row r="2" spans="1:24" ht="9.75" customHeight="1" x14ac:dyDescent="0.25">
      <c r="A2" s="649"/>
      <c r="B2" s="648"/>
      <c r="C2" s="648"/>
      <c r="D2" s="648"/>
      <c r="E2" s="648"/>
      <c r="F2" s="648"/>
      <c r="G2" s="648"/>
      <c r="H2" s="649"/>
    </row>
    <row r="3" spans="1:24" ht="26.25" x14ac:dyDescent="0.25">
      <c r="A3" s="649"/>
      <c r="B3" s="302"/>
      <c r="C3" s="1199" t="s">
        <v>410</v>
      </c>
      <c r="D3" s="1199"/>
      <c r="E3" s="1199"/>
      <c r="F3" s="1199"/>
      <c r="G3" s="621"/>
      <c r="H3" s="649"/>
      <c r="X3" s="445"/>
    </row>
    <row r="4" spans="1:24" x14ac:dyDescent="0.25">
      <c r="A4" s="649"/>
      <c r="B4" s="302"/>
      <c r="C4"/>
      <c r="D4"/>
      <c r="E4"/>
      <c r="F4"/>
      <c r="G4"/>
      <c r="H4" s="649"/>
      <c r="X4" s="445"/>
    </row>
    <row r="5" spans="1:24" ht="15.75" x14ac:dyDescent="0.25">
      <c r="A5" s="649"/>
      <c r="B5" s="302"/>
      <c r="C5" s="1200" t="s">
        <v>703</v>
      </c>
      <c r="D5" s="1200"/>
      <c r="E5" s="1200"/>
      <c r="F5" s="1200"/>
      <c r="G5"/>
      <c r="H5" s="649"/>
      <c r="X5" s="445"/>
    </row>
    <row r="6" spans="1:24" ht="15.75" x14ac:dyDescent="0.25">
      <c r="A6" s="649"/>
      <c r="B6" s="302"/>
      <c r="C6" s="647" t="s">
        <v>711</v>
      </c>
      <c r="D6" s="646"/>
      <c r="E6" s="645"/>
      <c r="F6" s="647" t="s">
        <v>720</v>
      </c>
      <c r="G6"/>
      <c r="H6" s="649"/>
      <c r="X6" s="445"/>
    </row>
    <row r="7" spans="1:24" x14ac:dyDescent="0.25">
      <c r="A7" s="649"/>
      <c r="B7" s="302"/>
      <c r="C7" s="1080" t="s">
        <v>136</v>
      </c>
      <c r="D7" s="55">
        <v>2010</v>
      </c>
      <c r="E7" s="196">
        <v>2020</v>
      </c>
      <c r="F7" s="606">
        <v>2012</v>
      </c>
      <c r="G7" s="7"/>
      <c r="H7" s="649"/>
      <c r="X7" s="445"/>
    </row>
    <row r="8" spans="1:24" x14ac:dyDescent="0.25">
      <c r="A8" s="741"/>
      <c r="B8" s="1001"/>
      <c r="C8" s="1080" t="s">
        <v>848</v>
      </c>
      <c r="D8" s="200"/>
      <c r="E8" s="200"/>
      <c r="F8" s="606" t="s">
        <v>850</v>
      </c>
      <c r="G8" s="296"/>
      <c r="H8" s="741"/>
      <c r="X8" s="445"/>
    </row>
    <row r="9" spans="1:24" x14ac:dyDescent="0.25">
      <c r="A9" s="649"/>
      <c r="B9" s="302"/>
      <c r="C9" s="635" t="s">
        <v>851</v>
      </c>
      <c r="D9"/>
      <c r="E9"/>
      <c r="F9"/>
      <c r="G9" s="7"/>
      <c r="H9" s="649"/>
      <c r="X9" s="445"/>
    </row>
    <row r="10" spans="1:24" x14ac:dyDescent="0.25">
      <c r="A10" s="649"/>
      <c r="B10" s="302"/>
      <c r="C10" s="1080" t="s">
        <v>895</v>
      </c>
      <c r="D10" s="34">
        <v>10</v>
      </c>
      <c r="E10" s="34">
        <v>10</v>
      </c>
      <c r="F10" s="34">
        <v>10</v>
      </c>
      <c r="G10" s="7"/>
      <c r="H10" s="649"/>
      <c r="X10" s="445"/>
    </row>
    <row r="11" spans="1:24" x14ac:dyDescent="0.25">
      <c r="A11" s="649"/>
      <c r="B11" s="303"/>
      <c r="C11" s="1080" t="s">
        <v>894</v>
      </c>
      <c r="D11" s="34">
        <v>10</v>
      </c>
      <c r="E11" s="34">
        <v>10</v>
      </c>
      <c r="F11" s="34">
        <v>10</v>
      </c>
      <c r="G11" s="25"/>
      <c r="H11" s="649"/>
      <c r="I11" s="627"/>
      <c r="J11" s="627"/>
      <c r="X11" s="445"/>
    </row>
    <row r="12" spans="1:24" x14ac:dyDescent="0.25">
      <c r="A12" s="649"/>
      <c r="B12" s="303"/>
      <c r="C12" s="31" t="s">
        <v>365</v>
      </c>
      <c r="D12"/>
      <c r="E12"/>
      <c r="F12"/>
      <c r="G12" s="25"/>
      <c r="H12" s="649"/>
    </row>
    <row r="13" spans="1:24" x14ac:dyDescent="0.25">
      <c r="A13" s="649"/>
      <c r="B13" s="302"/>
      <c r="C13" s="1080" t="s">
        <v>183</v>
      </c>
      <c r="D13" s="34">
        <v>26609</v>
      </c>
      <c r="E13" s="268">
        <v>26609</v>
      </c>
      <c r="F13" s="268">
        <v>26609</v>
      </c>
      <c r="G13" s="167"/>
      <c r="H13" s="649"/>
      <c r="I13" s="627"/>
      <c r="J13" s="627"/>
    </row>
    <row r="14" spans="1:24" x14ac:dyDescent="0.25">
      <c r="A14" s="649"/>
      <c r="B14" s="302"/>
      <c r="C14" s="1080" t="s">
        <v>355</v>
      </c>
      <c r="D14" s="268">
        <v>37009</v>
      </c>
      <c r="E14" s="268">
        <v>37009</v>
      </c>
      <c r="F14" s="268">
        <v>37009</v>
      </c>
      <c r="G14"/>
      <c r="H14" s="649"/>
    </row>
    <row r="15" spans="1:24" x14ac:dyDescent="0.25">
      <c r="A15" s="649"/>
      <c r="B15" s="302"/>
      <c r="C15" s="25"/>
      <c r="D15"/>
      <c r="E15"/>
      <c r="F15"/>
      <c r="G15" s="25"/>
      <c r="H15" s="649"/>
    </row>
    <row r="16" spans="1:24" ht="15.75" x14ac:dyDescent="0.25">
      <c r="A16" s="649"/>
      <c r="B16" s="302"/>
      <c r="C16" s="1200" t="s">
        <v>702</v>
      </c>
      <c r="D16" s="1200"/>
      <c r="E16" s="1200"/>
      <c r="F16" s="1200"/>
      <c r="G16" s="304"/>
      <c r="H16" s="649"/>
      <c r="I16" s="611"/>
      <c r="J16" s="611"/>
      <c r="K16" s="611"/>
      <c r="L16" s="611"/>
      <c r="M16" s="611"/>
      <c r="N16" s="611"/>
      <c r="O16" s="611"/>
    </row>
    <row r="17" spans="1:15" x14ac:dyDescent="0.25">
      <c r="A17" s="741"/>
      <c r="B17" s="1001"/>
      <c r="C17" s="444" t="s">
        <v>73</v>
      </c>
      <c r="D17" s="23">
        <v>250</v>
      </c>
      <c r="E17" s="23">
        <v>250</v>
      </c>
      <c r="F17" s="939">
        <v>250</v>
      </c>
      <c r="G17" s="304"/>
      <c r="H17" s="741"/>
      <c r="I17" s="611"/>
      <c r="J17" s="611"/>
      <c r="K17" s="611"/>
      <c r="L17" s="611"/>
      <c r="M17" s="611"/>
      <c r="N17" s="611"/>
      <c r="O17" s="611"/>
    </row>
    <row r="18" spans="1:15" x14ac:dyDescent="0.25">
      <c r="A18" s="649"/>
      <c r="B18" s="302"/>
      <c r="C18" s="164" t="s">
        <v>2</v>
      </c>
      <c r="D18" s="3"/>
      <c r="E18" s="3"/>
      <c r="F18" s="1081"/>
      <c r="G18" s="25"/>
      <c r="H18" s="649"/>
      <c r="I18" s="627"/>
      <c r="J18" s="650"/>
    </row>
    <row r="19" spans="1:15" x14ac:dyDescent="0.25">
      <c r="A19" s="649"/>
      <c r="B19" s="302"/>
      <c r="C19" s="359" t="s">
        <v>184</v>
      </c>
      <c r="D19" s="86">
        <f>'2010ER'!S43</f>
        <v>0.44297946535220284</v>
      </c>
      <c r="E19" s="86">
        <f>'2020ER'!S43</f>
        <v>0.10509258834592984</v>
      </c>
      <c r="F19" s="1084">
        <f>TREND(D19:E19,$D$7:$E$7,$F$7)</f>
        <v>0.37540208995093849</v>
      </c>
      <c r="G19" s="25"/>
      <c r="H19" s="649"/>
      <c r="I19" s="611"/>
      <c r="J19" s="611"/>
      <c r="K19" s="611"/>
      <c r="L19" s="611"/>
      <c r="M19" s="611"/>
      <c r="N19" s="611"/>
      <c r="O19" s="611"/>
    </row>
    <row r="20" spans="1:15" x14ac:dyDescent="0.25">
      <c r="A20" s="649"/>
      <c r="B20" s="302"/>
      <c r="C20" s="359" t="s">
        <v>356</v>
      </c>
      <c r="D20" s="86">
        <f>'2010ER'!N43</f>
        <v>0.62121117596831688</v>
      </c>
      <c r="E20" s="86">
        <f>'2020ER'!N43</f>
        <v>0.17238785139555748</v>
      </c>
      <c r="F20" s="1084">
        <f>TREND(D20:E20,$D$7:$E$7,$F$7)</f>
        <v>0.5314465110537725</v>
      </c>
      <c r="G20" s="183"/>
      <c r="H20" s="649"/>
      <c r="I20" s="611"/>
      <c r="J20" s="611"/>
      <c r="K20" s="611"/>
      <c r="L20" s="611"/>
      <c r="M20" s="611"/>
      <c r="N20" s="611"/>
      <c r="O20" s="611"/>
    </row>
    <row r="21" spans="1:15" x14ac:dyDescent="0.25">
      <c r="A21" s="741"/>
      <c r="B21" s="1001"/>
      <c r="C21" s="359" t="s">
        <v>841</v>
      </c>
      <c r="D21" s="86">
        <f>'2010ER'!S75</f>
        <v>0.63075382104439393</v>
      </c>
      <c r="E21" s="86">
        <f>'2020ER'!S75</f>
        <v>0.25187174320871725</v>
      </c>
      <c r="F21" s="1084">
        <f>TREND(D21:E21,$D$7:$E$7,$F$7)</f>
        <v>0.55497740547725982</v>
      </c>
      <c r="G21" s="183"/>
      <c r="H21" s="741"/>
      <c r="I21" s="611"/>
      <c r="J21" s="611"/>
      <c r="K21" s="611"/>
      <c r="L21" s="611"/>
      <c r="M21" s="611"/>
      <c r="N21" s="611"/>
      <c r="O21" s="611"/>
    </row>
    <row r="22" spans="1:15" x14ac:dyDescent="0.25">
      <c r="A22" s="741"/>
      <c r="B22" s="1001"/>
      <c r="C22" s="359" t="s">
        <v>842</v>
      </c>
      <c r="D22" s="86">
        <f>'2010ER'!N75</f>
        <v>0.74780489853425214</v>
      </c>
      <c r="E22" s="86">
        <f>'2020ER'!N75</f>
        <v>0.25204878275147641</v>
      </c>
      <c r="F22" s="1084">
        <f>TREND(D22:E22,$D$7:$E$7,$F$7)</f>
        <v>0.64865367537770169</v>
      </c>
      <c r="G22" s="183"/>
      <c r="H22" s="741"/>
      <c r="I22" s="611"/>
      <c r="J22" s="611"/>
      <c r="K22" s="611"/>
      <c r="L22" s="611"/>
      <c r="M22" s="611"/>
      <c r="N22" s="611"/>
      <c r="O22" s="611"/>
    </row>
    <row r="23" spans="1:15" x14ac:dyDescent="0.25">
      <c r="A23" s="649"/>
      <c r="B23" s="302"/>
      <c r="C23" s="62" t="s">
        <v>372</v>
      </c>
      <c r="D23" s="642"/>
      <c r="E23" s="620"/>
      <c r="F23" s="1082"/>
      <c r="G23" s="190"/>
      <c r="H23" s="649"/>
    </row>
    <row r="24" spans="1:15" x14ac:dyDescent="0.25">
      <c r="A24" s="649"/>
      <c r="B24" s="302"/>
      <c r="C24" s="592" t="s">
        <v>844</v>
      </c>
      <c r="D24" s="41">
        <v>0.3</v>
      </c>
      <c r="E24" s="41">
        <v>0.3</v>
      </c>
      <c r="F24" s="1083">
        <v>0.3</v>
      </c>
      <c r="G24" s="190"/>
      <c r="H24" s="649"/>
    </row>
    <row r="25" spans="1:15" x14ac:dyDescent="0.25">
      <c r="A25" s="649"/>
      <c r="B25" s="302"/>
      <c r="C25" s="592" t="s">
        <v>845</v>
      </c>
      <c r="D25" s="41">
        <v>0.9</v>
      </c>
      <c r="E25" s="41">
        <v>0.9</v>
      </c>
      <c r="F25" s="1083">
        <v>0.9</v>
      </c>
      <c r="G25" s="183"/>
      <c r="H25" s="649"/>
    </row>
    <row r="26" spans="1:15" x14ac:dyDescent="0.25">
      <c r="A26" s="649"/>
      <c r="B26" s="302"/>
      <c r="C26" s="62" t="s">
        <v>373</v>
      </c>
      <c r="D26" s="643"/>
      <c r="E26" s="620"/>
      <c r="F26" s="1082"/>
      <c r="G26" s="190"/>
      <c r="H26" s="649"/>
    </row>
    <row r="27" spans="1:15" x14ac:dyDescent="0.25">
      <c r="A27" s="649"/>
      <c r="B27" s="302"/>
      <c r="C27" s="592" t="s">
        <v>846</v>
      </c>
      <c r="D27" s="41">
        <v>0.55000000000000004</v>
      </c>
      <c r="E27" s="41">
        <v>0.55000000000000004</v>
      </c>
      <c r="F27" s="1083">
        <v>0.55000000000000004</v>
      </c>
      <c r="G27"/>
      <c r="H27" s="649"/>
    </row>
    <row r="28" spans="1:15" x14ac:dyDescent="0.25">
      <c r="A28" s="741"/>
      <c r="B28" s="1001"/>
      <c r="C28" s="592" t="s">
        <v>847</v>
      </c>
      <c r="D28" s="41">
        <v>0.9</v>
      </c>
      <c r="E28" s="41">
        <v>0.9</v>
      </c>
      <c r="F28" s="1083">
        <v>0.9</v>
      </c>
      <c r="G28" s="1001"/>
      <c r="H28" s="741"/>
    </row>
    <row r="29" spans="1:15" x14ac:dyDescent="0.25">
      <c r="A29" s="649"/>
      <c r="B29" s="302"/>
      <c r="C29" s="10"/>
      <c r="D29"/>
      <c r="E29"/>
      <c r="F29"/>
      <c r="G29" s="7"/>
      <c r="H29" s="649"/>
    </row>
    <row r="30" spans="1:15" ht="15.75" x14ac:dyDescent="0.25">
      <c r="A30" s="652"/>
      <c r="B30" s="302"/>
      <c r="C30" s="1200" t="s">
        <v>700</v>
      </c>
      <c r="D30" s="1200"/>
      <c r="E30" s="1200"/>
      <c r="F30" s="1200"/>
      <c r="G30" s="296"/>
      <c r="H30" s="652"/>
    </row>
    <row r="31" spans="1:15" ht="15.75" x14ac:dyDescent="0.25">
      <c r="A31" s="649"/>
      <c r="B31" s="302"/>
      <c r="C31" s="655" t="s">
        <v>711</v>
      </c>
      <c r="D31" s="654"/>
      <c r="E31" s="653"/>
      <c r="F31" s="655" t="s">
        <v>710</v>
      </c>
      <c r="G31" s="7"/>
      <c r="H31" s="649"/>
    </row>
    <row r="32" spans="1:15" x14ac:dyDescent="0.25">
      <c r="A32" s="649"/>
      <c r="B32" s="302"/>
      <c r="C32" s="444" t="s">
        <v>857</v>
      </c>
      <c r="D32" s="22">
        <f>D10*D13</f>
        <v>266090</v>
      </c>
      <c r="E32" s="22">
        <f t="shared" ref="E32" si="0">E10*E13</f>
        <v>266090</v>
      </c>
      <c r="F32" s="22">
        <f>F10*F13</f>
        <v>266090</v>
      </c>
      <c r="G32" s="7"/>
      <c r="H32" s="649"/>
    </row>
    <row r="33" spans="1:9" x14ac:dyDescent="0.25">
      <c r="A33" s="649"/>
      <c r="B33" s="302"/>
      <c r="C33" s="444" t="s">
        <v>858</v>
      </c>
      <c r="D33" s="22">
        <f>D11*D14</f>
        <v>370090</v>
      </c>
      <c r="E33" s="22">
        <f t="shared" ref="E33" si="1">E11*E14</f>
        <v>370090</v>
      </c>
      <c r="F33" s="22">
        <f>F11*F14</f>
        <v>370090</v>
      </c>
      <c r="G33" s="7"/>
      <c r="H33" s="649"/>
      <c r="I33" s="364"/>
    </row>
    <row r="34" spans="1:9" x14ac:dyDescent="0.25">
      <c r="A34" s="649"/>
      <c r="B34" s="302"/>
      <c r="C34" s="443" t="s">
        <v>855</v>
      </c>
      <c r="D34" s="24">
        <f>D19*D32+D20*D33</f>
        <v>347776.45004968205</v>
      </c>
      <c r="E34" s="24">
        <f t="shared" ref="E34" si="2">E19*E32+E20*E33</f>
        <v>91763.106755950343</v>
      </c>
      <c r="F34" s="24">
        <f>F19*F32+F20*F33</f>
        <v>296573.78139093588</v>
      </c>
      <c r="G34" s="7"/>
      <c r="H34" s="649"/>
    </row>
    <row r="35" spans="1:9" x14ac:dyDescent="0.25">
      <c r="A35" s="649"/>
      <c r="B35" s="302"/>
      <c r="C35" s="443" t="s">
        <v>856</v>
      </c>
      <c r="D35" s="22">
        <f>D34*(1-IF(RIGHT($F$8,5)="(DOC)",D24,IF(RIGHT($F$8,5)="(DPF)",D25,0)))</f>
        <v>34777.645004968195</v>
      </c>
      <c r="E35" s="22">
        <f t="shared" ref="E35" si="3">E34*(1-IF(RIGHT($F$8,5)="(DOC)",E24,IF(RIGHT($F$8,5)="(DPF)",E25,0)))</f>
        <v>9176.3106755950321</v>
      </c>
      <c r="F35" s="22">
        <f>F34*(1-IF(RIGHT($F$8,5)="(DOC)",F24,IF(RIGHT($F$8,5)="(DPF)",F25,0)))</f>
        <v>29657.37813909358</v>
      </c>
      <c r="G35" s="7"/>
      <c r="H35" s="649"/>
    </row>
    <row r="36" spans="1:9" x14ac:dyDescent="0.25">
      <c r="A36" s="649"/>
      <c r="B36" s="302"/>
      <c r="C36" s="443" t="s">
        <v>865</v>
      </c>
      <c r="D36" s="24">
        <f>D21*D32+D22*D33</f>
        <v>444592.39914024412</v>
      </c>
      <c r="E36" s="24">
        <f t="shared" ref="E36" si="4">E21*E32+E22*E33</f>
        <v>160301.28615890146</v>
      </c>
      <c r="F36" s="24">
        <f>F21*F32+F22*F33</f>
        <v>387734.17654397769</v>
      </c>
      <c r="G36" s="7"/>
      <c r="H36" s="649"/>
    </row>
    <row r="37" spans="1:9" x14ac:dyDescent="0.25">
      <c r="A37" s="649"/>
      <c r="B37" s="302"/>
      <c r="C37" s="443" t="s">
        <v>866</v>
      </c>
      <c r="D37" s="22">
        <f>D36*(1-IF(RIGHT($F$8,5)="(DOC)",D27,IF(RIGHT($F$8,5)="(DPF)",D28,0)))</f>
        <v>44459.239914024402</v>
      </c>
      <c r="E37" s="22">
        <f t="shared" ref="E37:F37" si="5">E36*(1-IF(RIGHT($F$8,5)="(DOC)",E27,IF(RIGHT($F$8,5)="(DPF)",E28,0)))</f>
        <v>16030.128615890142</v>
      </c>
      <c r="F37" s="22">
        <f t="shared" si="5"/>
        <v>38773.417654397759</v>
      </c>
      <c r="G37" s="7"/>
      <c r="H37" s="649"/>
    </row>
    <row r="38" spans="1:9" x14ac:dyDescent="0.25">
      <c r="A38" s="656"/>
      <c r="B38" s="302"/>
      <c r="C38" s="303"/>
      <c r="D38" s="630"/>
      <c r="E38" s="630"/>
      <c r="F38" s="630"/>
      <c r="G38" s="296"/>
      <c r="H38" s="656"/>
    </row>
    <row r="39" spans="1:9" ht="15.75" x14ac:dyDescent="0.25">
      <c r="A39" s="656"/>
      <c r="B39" s="302"/>
      <c r="C39" s="1197" t="s">
        <v>701</v>
      </c>
      <c r="D39" s="1197"/>
      <c r="E39" s="1197"/>
      <c r="F39" s="1197"/>
      <c r="G39" s="296"/>
      <c r="H39" s="656"/>
    </row>
    <row r="40" spans="1:9" ht="15.75" thickBot="1" x14ac:dyDescent="0.3">
      <c r="A40" s="656"/>
      <c r="B40" s="302"/>
      <c r="C40" s="657" t="s">
        <v>990</v>
      </c>
      <c r="D40" s="657"/>
      <c r="E40" s="657"/>
      <c r="F40" s="657"/>
      <c r="G40" s="296"/>
      <c r="H40" s="656"/>
    </row>
    <row r="41" spans="1:9" x14ac:dyDescent="0.25">
      <c r="A41" s="649"/>
      <c r="B41" s="302"/>
      <c r="C41" s="470" t="s">
        <v>124</v>
      </c>
      <c r="D41" s="1076" t="s">
        <v>360</v>
      </c>
      <c r="E41" s="1048" t="s">
        <v>360</v>
      </c>
      <c r="F41" s="1048" t="s">
        <v>360</v>
      </c>
      <c r="G41"/>
      <c r="H41" s="649"/>
    </row>
    <row r="42" spans="1:9" ht="15.75" thickBot="1" x14ac:dyDescent="0.3">
      <c r="A42" s="741"/>
      <c r="B42" s="1001"/>
      <c r="C42" s="508" t="s">
        <v>859</v>
      </c>
      <c r="D42" s="1077" t="s">
        <v>360</v>
      </c>
      <c r="E42" s="1077" t="s">
        <v>360</v>
      </c>
      <c r="F42" s="1077" t="s">
        <v>360</v>
      </c>
      <c r="G42" s="1001"/>
      <c r="H42" s="741"/>
    </row>
    <row r="43" spans="1:9" x14ac:dyDescent="0.25">
      <c r="A43" s="649"/>
      <c r="B43" s="2"/>
      <c r="C43" s="622"/>
      <c r="D43" s="83"/>
      <c r="E43" s="83"/>
      <c r="F43" s="83"/>
      <c r="G43"/>
      <c r="H43" s="649"/>
    </row>
    <row r="44" spans="1:9" ht="15.75" thickBot="1" x14ac:dyDescent="0.3">
      <c r="A44" s="658"/>
      <c r="B44" s="2"/>
      <c r="C44" s="661" t="s">
        <v>724</v>
      </c>
      <c r="D44" s="83"/>
      <c r="E44" s="83"/>
      <c r="F44" s="83"/>
      <c r="G44" s="302"/>
      <c r="H44" s="658"/>
    </row>
    <row r="45" spans="1:9" x14ac:dyDescent="0.25">
      <c r="A45" s="649"/>
      <c r="B45" s="332"/>
      <c r="C45" s="639" t="s">
        <v>860</v>
      </c>
      <c r="D45" s="957" t="s">
        <v>360</v>
      </c>
      <c r="E45" s="1078" t="s">
        <v>360</v>
      </c>
      <c r="F45" s="1040" t="s">
        <v>360</v>
      </c>
      <c r="G45"/>
      <c r="H45" s="649"/>
    </row>
    <row r="46" spans="1:9" x14ac:dyDescent="0.25">
      <c r="A46" s="649"/>
      <c r="B46" s="332"/>
      <c r="C46" s="640" t="s">
        <v>861</v>
      </c>
      <c r="D46" s="958" t="s">
        <v>360</v>
      </c>
      <c r="E46" s="1079" t="s">
        <v>360</v>
      </c>
      <c r="F46" s="1041" t="s">
        <v>360</v>
      </c>
      <c r="G46" s="7"/>
      <c r="H46" s="649"/>
    </row>
    <row r="47" spans="1:9" x14ac:dyDescent="0.25">
      <c r="A47" s="649"/>
      <c r="B47" s="332"/>
      <c r="C47" s="640" t="s">
        <v>862</v>
      </c>
      <c r="D47" s="958">
        <f>(D34-D35)</f>
        <v>312998.80504471384</v>
      </c>
      <c r="E47" s="1079">
        <f>(E34-E35)</f>
        <v>82586.796080355314</v>
      </c>
      <c r="F47" s="1041">
        <f>(F34-F35)</f>
        <v>266916.4032518423</v>
      </c>
      <c r="G47" s="7"/>
      <c r="H47" s="649"/>
    </row>
    <row r="48" spans="1:9" x14ac:dyDescent="0.25">
      <c r="A48" s="649"/>
      <c r="B48" s="332"/>
      <c r="C48" s="640" t="s">
        <v>863</v>
      </c>
      <c r="D48" s="958" t="s">
        <v>360</v>
      </c>
      <c r="E48" s="1079" t="s">
        <v>360</v>
      </c>
      <c r="F48" s="1041" t="s">
        <v>360</v>
      </c>
      <c r="G48" s="7"/>
      <c r="H48" s="649"/>
    </row>
    <row r="49" spans="1:10" ht="15.75" thickBot="1" x14ac:dyDescent="0.3">
      <c r="A49" s="649"/>
      <c r="B49" s="332"/>
      <c r="C49" s="641" t="s">
        <v>864</v>
      </c>
      <c r="D49" s="959">
        <f>(D36-D37)</f>
        <v>400133.15922621969</v>
      </c>
      <c r="E49" s="637">
        <f>(E36-E37)</f>
        <v>144271.15754301133</v>
      </c>
      <c r="F49" s="637">
        <f>(F36-F37)</f>
        <v>348960.75888957991</v>
      </c>
      <c r="G49" s="7"/>
      <c r="H49" s="649"/>
      <c r="J49" s="1188"/>
    </row>
    <row r="50" spans="1:10" ht="15.75" thickBot="1" x14ac:dyDescent="0.3">
      <c r="A50" s="649"/>
      <c r="B50" s="2"/>
      <c r="C50" s="651"/>
      <c r="D50"/>
      <c r="E50"/>
      <c r="F50" s="19"/>
      <c r="G50"/>
      <c r="H50" s="649"/>
    </row>
    <row r="51" spans="1:10" x14ac:dyDescent="0.25">
      <c r="A51" s="649"/>
      <c r="B51" s="332"/>
      <c r="C51" s="639" t="s">
        <v>974</v>
      </c>
      <c r="D51" s="960" t="s">
        <v>360</v>
      </c>
      <c r="E51" s="960" t="s">
        <v>360</v>
      </c>
      <c r="F51" s="960" t="s">
        <v>360</v>
      </c>
      <c r="G51"/>
      <c r="H51" s="649"/>
    </row>
    <row r="52" spans="1:10" x14ac:dyDescent="0.25">
      <c r="A52" s="649"/>
      <c r="B52" s="332"/>
      <c r="C52" s="640" t="s">
        <v>975</v>
      </c>
      <c r="D52" s="961" t="s">
        <v>360</v>
      </c>
      <c r="E52" s="961" t="s">
        <v>360</v>
      </c>
      <c r="F52" s="961" t="s">
        <v>360</v>
      </c>
      <c r="G52" s="302"/>
      <c r="H52" s="649"/>
    </row>
    <row r="53" spans="1:10" x14ac:dyDescent="0.25">
      <c r="A53" s="649"/>
      <c r="B53" s="332"/>
      <c r="C53" s="640" t="s">
        <v>976</v>
      </c>
      <c r="D53" s="962">
        <f t="shared" ref="D53:E53" si="6">(D47*0.00000110231)/D17</f>
        <v>1.3800868511553541E-3</v>
      </c>
      <c r="E53" s="962">
        <f t="shared" si="6"/>
        <v>3.641450047493459E-4</v>
      </c>
      <c r="F53" s="962">
        <f>(F47*0.00000110231)/F17</f>
        <v>1.1768984818741532E-3</v>
      </c>
      <c r="G53"/>
      <c r="H53" s="649"/>
    </row>
    <row r="54" spans="1:10" x14ac:dyDescent="0.25">
      <c r="A54" s="649"/>
      <c r="B54" s="332"/>
      <c r="C54" s="640" t="s">
        <v>977</v>
      </c>
      <c r="D54" s="961" t="s">
        <v>360</v>
      </c>
      <c r="E54" s="961" t="s">
        <v>360</v>
      </c>
      <c r="F54" s="961" t="s">
        <v>360</v>
      </c>
      <c r="G54" s="302"/>
      <c r="H54" s="649"/>
    </row>
    <row r="55" spans="1:10" ht="15.75" thickBot="1" x14ac:dyDescent="0.3">
      <c r="A55" s="649"/>
      <c r="B55" s="332"/>
      <c r="C55" s="641" t="s">
        <v>978</v>
      </c>
      <c r="D55" s="638">
        <f t="shared" ref="D55:E55" si="7">(D49*0.00000110231)/D17</f>
        <v>1.7642831309866171E-3</v>
      </c>
      <c r="E55" s="638">
        <f t="shared" si="7"/>
        <v>6.3612615868494733E-4</v>
      </c>
      <c r="F55" s="638">
        <f>(F49*0.00000110231)/F17</f>
        <v>1.5386517365262916E-3</v>
      </c>
      <c r="G55"/>
      <c r="H55" s="649"/>
    </row>
    <row r="56" spans="1:10" x14ac:dyDescent="0.25">
      <c r="A56" s="649"/>
      <c r="B56" s="302"/>
      <c r="C56"/>
      <c r="D56"/>
      <c r="E56"/>
      <c r="F56"/>
      <c r="G56"/>
      <c r="H56" s="649"/>
    </row>
    <row r="57" spans="1:10" x14ac:dyDescent="0.25">
      <c r="A57" s="649"/>
      <c r="B57" s="649"/>
      <c r="C57" s="649"/>
      <c r="D57" s="649"/>
      <c r="E57" s="649"/>
      <c r="F57" s="649"/>
      <c r="G57" s="649"/>
      <c r="H57" s="649"/>
    </row>
    <row r="58" spans="1:10" ht="9.75" customHeight="1" x14ac:dyDescent="0.25"/>
    <row r="59" spans="1:10" ht="11.25" customHeight="1" x14ac:dyDescent="0.25"/>
  </sheetData>
  <mergeCells count="5">
    <mergeCell ref="C39:F39"/>
    <mergeCell ref="C5:F5"/>
    <mergeCell ref="C3:F3"/>
    <mergeCell ref="C16:F16"/>
    <mergeCell ref="C30:F30"/>
  </mergeCell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OtherVariables!$I$121:$I$131</xm:f>
          </x14:formula1>
          <xm:sqref>F7</xm:sqref>
        </x14:dataValidation>
        <x14:dataValidation type="list" allowBlank="1" showInputMessage="1" showErrorMessage="1">
          <x14:formula1>
            <xm:f>OtherVariables!$A$317:$A$318</xm:f>
          </x14:formula1>
          <xm:sqref>F8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48"/>
  <sheetViews>
    <sheetView showGridLines="0" topLeftCell="A7" zoomScale="85" zoomScaleNormal="85" workbookViewId="0">
      <selection activeCell="D16" sqref="D16"/>
    </sheetView>
  </sheetViews>
  <sheetFormatPr defaultRowHeight="15" x14ac:dyDescent="0.25"/>
  <cols>
    <col min="1" max="1" width="2.28515625" style="294" customWidth="1"/>
    <col min="2" max="2" width="2" style="294" customWidth="1"/>
    <col min="3" max="3" width="76.7109375" style="294" customWidth="1"/>
    <col min="4" max="5" width="18" style="294" customWidth="1"/>
    <col min="6" max="6" width="26.140625" style="294" customWidth="1"/>
    <col min="7" max="7" width="2.7109375" style="294" customWidth="1"/>
    <col min="8" max="8" width="2.140625" style="294" customWidth="1"/>
    <col min="9" max="10" width="9.140625" style="294"/>
    <col min="11" max="11" width="17.5703125" style="744" bestFit="1" customWidth="1"/>
    <col min="12" max="12" width="10.5703125" style="294" bestFit="1" customWidth="1"/>
    <col min="13" max="16384" width="9.140625" style="294"/>
  </cols>
  <sheetData>
    <row r="1" spans="1:24" x14ac:dyDescent="0.25">
      <c r="A1" s="617"/>
      <c r="B1" s="617"/>
      <c r="C1" s="617"/>
      <c r="D1" s="617"/>
      <c r="E1" s="617"/>
      <c r="F1" s="617"/>
      <c r="G1" s="617"/>
      <c r="H1" s="617"/>
    </row>
    <row r="2" spans="1:24" x14ac:dyDescent="0.25">
      <c r="A2" s="617"/>
      <c r="B2" s="616"/>
      <c r="C2" s="616"/>
      <c r="D2" s="616"/>
      <c r="E2" s="616"/>
      <c r="F2" s="616"/>
      <c r="G2" s="616"/>
      <c r="H2" s="617"/>
    </row>
    <row r="3" spans="1:24" ht="28.5" x14ac:dyDescent="0.25">
      <c r="A3" s="617"/>
      <c r="B3" s="302"/>
      <c r="C3" s="1199" t="s">
        <v>423</v>
      </c>
      <c r="D3" s="1199"/>
      <c r="E3" s="1199"/>
      <c r="F3" s="1199"/>
      <c r="G3" s="520"/>
      <c r="H3" s="617"/>
      <c r="L3" s="445"/>
      <c r="M3" s="445"/>
      <c r="N3" s="445"/>
      <c r="O3" s="445"/>
      <c r="P3" s="445"/>
      <c r="Q3" s="445"/>
      <c r="R3" s="445"/>
      <c r="S3" s="445"/>
      <c r="T3" s="445"/>
      <c r="U3" s="445"/>
      <c r="V3" s="445"/>
      <c r="W3" s="445"/>
      <c r="X3" s="445"/>
    </row>
    <row r="4" spans="1:24" ht="17.25" customHeight="1" x14ac:dyDescent="0.25">
      <c r="A4" s="617"/>
      <c r="B4" s="302"/>
      <c r="C4" s="607"/>
      <c r="D4" s="607"/>
      <c r="E4" s="607"/>
      <c r="F4" s="607"/>
      <c r="G4"/>
      <c r="H4" s="617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</row>
    <row r="5" spans="1:24" ht="15.75" x14ac:dyDescent="0.25">
      <c r="A5" s="617"/>
      <c r="B5" s="302"/>
      <c r="C5" s="1200" t="s">
        <v>703</v>
      </c>
      <c r="D5" s="1200"/>
      <c r="E5" s="1200"/>
      <c r="F5" s="1200"/>
      <c r="G5"/>
      <c r="H5" s="617"/>
      <c r="L5" s="445"/>
      <c r="M5" s="445"/>
      <c r="N5" s="445"/>
      <c r="O5" s="445"/>
      <c r="P5" s="445"/>
      <c r="Q5" s="445"/>
      <c r="R5" s="445"/>
      <c r="S5" s="445"/>
      <c r="T5" s="445"/>
      <c r="U5" s="445"/>
      <c r="V5" s="445"/>
      <c r="W5" s="445"/>
      <c r="X5" s="445"/>
    </row>
    <row r="6" spans="1:24" ht="15.75" x14ac:dyDescent="0.25">
      <c r="A6" s="617"/>
      <c r="B6" s="302"/>
      <c r="C6" s="614" t="s">
        <v>711</v>
      </c>
      <c r="D6" s="613"/>
      <c r="E6" s="612"/>
      <c r="F6" s="614" t="s">
        <v>720</v>
      </c>
      <c r="G6" s="302"/>
      <c r="H6" s="617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</row>
    <row r="7" spans="1:24" x14ac:dyDescent="0.25">
      <c r="A7" s="617"/>
      <c r="B7" s="302"/>
      <c r="C7" s="597" t="s">
        <v>747</v>
      </c>
      <c r="D7" s="55">
        <v>2010</v>
      </c>
      <c r="E7" s="55">
        <v>2020</v>
      </c>
      <c r="F7" s="606">
        <v>2017</v>
      </c>
      <c r="G7"/>
      <c r="H7" s="617"/>
      <c r="L7" s="445"/>
      <c r="M7" s="445"/>
      <c r="N7" s="445"/>
      <c r="O7" s="445"/>
      <c r="P7" s="445"/>
      <c r="Q7" s="445"/>
      <c r="R7" s="445"/>
      <c r="S7" s="445"/>
      <c r="T7" s="445"/>
      <c r="U7" s="445"/>
      <c r="V7" s="445"/>
      <c r="W7" s="445"/>
      <c r="X7" s="445"/>
    </row>
    <row r="8" spans="1:24" x14ac:dyDescent="0.25">
      <c r="A8" s="617"/>
      <c r="B8" s="302"/>
      <c r="C8" s="597" t="s">
        <v>378</v>
      </c>
      <c r="D8" s="1169"/>
      <c r="E8" s="1169"/>
      <c r="F8" s="128" t="s">
        <v>384</v>
      </c>
      <c r="G8"/>
      <c r="H8" s="617"/>
      <c r="L8" s="445"/>
      <c r="M8" s="445"/>
      <c r="N8" s="445"/>
      <c r="O8" s="445"/>
      <c r="P8" s="445"/>
      <c r="Q8" s="445"/>
      <c r="R8" s="445"/>
      <c r="S8" s="445"/>
      <c r="T8" s="445"/>
      <c r="U8" s="445"/>
      <c r="V8" s="445"/>
      <c r="W8" s="445"/>
      <c r="X8" s="445"/>
    </row>
    <row r="9" spans="1:24" x14ac:dyDescent="0.25">
      <c r="A9" s="617"/>
      <c r="B9" s="302"/>
      <c r="C9" s="597" t="s">
        <v>379</v>
      </c>
      <c r="D9" s="1169"/>
      <c r="E9" s="1169"/>
      <c r="F9" s="128" t="s">
        <v>381</v>
      </c>
      <c r="G9"/>
      <c r="H9" s="617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</row>
    <row r="10" spans="1:24" ht="15" customHeight="1" x14ac:dyDescent="0.25">
      <c r="A10" s="617"/>
      <c r="B10" s="302"/>
      <c r="C10" s="597" t="s">
        <v>386</v>
      </c>
      <c r="D10" s="1169"/>
      <c r="E10" s="1169"/>
      <c r="F10" s="128">
        <v>28</v>
      </c>
      <c r="G10"/>
      <c r="H10" s="617"/>
      <c r="I10" s="582"/>
      <c r="J10" s="582"/>
      <c r="L10" s="605"/>
      <c r="M10" s="605"/>
      <c r="N10" s="605"/>
      <c r="O10" s="553"/>
      <c r="P10" s="445"/>
      <c r="Q10" s="445"/>
      <c r="R10" s="445"/>
      <c r="S10" s="445"/>
      <c r="T10" s="445"/>
      <c r="U10" s="445"/>
      <c r="V10" s="445"/>
      <c r="W10" s="445"/>
      <c r="X10" s="445"/>
    </row>
    <row r="11" spans="1:24" ht="15" customHeight="1" x14ac:dyDescent="0.25">
      <c r="A11" s="741"/>
      <c r="B11" s="1001"/>
      <c r="C11" s="1165" t="s">
        <v>918</v>
      </c>
      <c r="D11" s="1169"/>
      <c r="E11" s="1169"/>
      <c r="F11" s="269">
        <v>48957</v>
      </c>
      <c r="G11" s="1001"/>
      <c r="H11" s="741"/>
      <c r="I11" s="582"/>
      <c r="J11" s="582"/>
      <c r="L11" s="605"/>
      <c r="M11" s="605"/>
      <c r="N11" s="605"/>
      <c r="O11" s="553"/>
      <c r="P11" s="445"/>
      <c r="Q11" s="445"/>
      <c r="R11" s="445"/>
      <c r="S11" s="445"/>
      <c r="T11" s="445"/>
      <c r="U11" s="445"/>
      <c r="V11" s="445"/>
      <c r="W11" s="445"/>
      <c r="X11" s="445"/>
    </row>
    <row r="12" spans="1:24" x14ac:dyDescent="0.25">
      <c r="A12" s="617"/>
      <c r="B12" s="302"/>
      <c r="C12" s="10"/>
      <c r="D12"/>
      <c r="E12"/>
      <c r="F12"/>
      <c r="G12"/>
      <c r="H12" s="617"/>
      <c r="I12" s="611"/>
      <c r="J12" s="611"/>
      <c r="L12" s="611"/>
      <c r="M12" s="611"/>
      <c r="N12" s="611"/>
      <c r="O12" s="611"/>
    </row>
    <row r="13" spans="1:24" ht="15.75" x14ac:dyDescent="0.25">
      <c r="A13" s="617"/>
      <c r="B13" s="303"/>
      <c r="C13" s="1200" t="s">
        <v>702</v>
      </c>
      <c r="D13" s="1200"/>
      <c r="E13" s="1200"/>
      <c r="F13" s="1200"/>
      <c r="G13" s="25"/>
      <c r="H13" s="617"/>
      <c r="I13" s="611"/>
      <c r="J13" s="611"/>
      <c r="L13" s="611"/>
      <c r="M13" s="611"/>
      <c r="N13" s="611"/>
      <c r="O13" s="611"/>
      <c r="X13" s="364"/>
    </row>
    <row r="14" spans="1:24" s="364" customFormat="1" x14ac:dyDescent="0.25">
      <c r="A14" s="741"/>
      <c r="B14" s="303"/>
      <c r="C14" s="444" t="s">
        <v>73</v>
      </c>
      <c r="D14" s="23">
        <v>250</v>
      </c>
      <c r="E14" s="23">
        <v>250</v>
      </c>
      <c r="F14" s="23">
        <v>250</v>
      </c>
      <c r="G14" s="304"/>
      <c r="H14" s="741"/>
      <c r="I14" s="589"/>
      <c r="J14" s="589"/>
      <c r="K14" s="744"/>
      <c r="L14" s="589"/>
      <c r="M14" s="589"/>
      <c r="N14" s="589"/>
      <c r="O14" s="589"/>
    </row>
    <row r="15" spans="1:24" s="364" customFormat="1" x14ac:dyDescent="0.25">
      <c r="A15" s="617"/>
      <c r="B15" s="303"/>
      <c r="C15" s="696" t="s">
        <v>935</v>
      </c>
      <c r="D15" s="303"/>
      <c r="E15" s="303"/>
      <c r="F15" s="303"/>
      <c r="G15" s="25"/>
      <c r="H15" s="617"/>
      <c r="I15" s="589"/>
      <c r="J15" s="589"/>
      <c r="K15" s="1140"/>
      <c r="L15" s="589"/>
      <c r="M15" s="589"/>
      <c r="N15" s="589"/>
      <c r="O15" s="589"/>
    </row>
    <row r="16" spans="1:24" s="364" customFormat="1" x14ac:dyDescent="0.25">
      <c r="A16" s="617"/>
      <c r="B16" s="4"/>
      <c r="C16" s="351" t="s">
        <v>536</v>
      </c>
      <c r="D16" s="207">
        <f ca="1">VLOOKUP($F$8,OtherVariables!$B$383:$M$406, 3, FALSE)</f>
        <v>1389.48214554682</v>
      </c>
      <c r="E16" s="207">
        <f ca="1">VLOOKUP($F$8,OtherVariables!$B$383:$M$406, 8, FALSE)</f>
        <v>1389.56677507162</v>
      </c>
      <c r="F16" s="201">
        <f ca="1">TREND(D16:E16,$D$7:$E$7,$F$7)</f>
        <v>1389.5413862141802</v>
      </c>
      <c r="G16" s="204"/>
      <c r="H16" s="617"/>
      <c r="I16" s="589"/>
      <c r="J16" s="589"/>
      <c r="K16" s="1141"/>
      <c r="L16" s="589"/>
      <c r="M16" s="589"/>
      <c r="N16" s="589"/>
      <c r="O16" s="589"/>
    </row>
    <row r="17" spans="1:24" s="364" customFormat="1" x14ac:dyDescent="0.25">
      <c r="A17" s="617"/>
      <c r="B17" s="4"/>
      <c r="C17" s="351" t="s">
        <v>537</v>
      </c>
      <c r="D17" s="207">
        <f ca="1">VLOOKUP($F$8,OtherVariables!$B$383:$M$406, 4, FALSE)</f>
        <v>13.282913338837</v>
      </c>
      <c r="E17" s="207">
        <f ca="1">VLOOKUP($F$8,OtherVariables!$B$383:$M$406, 9, FALSE)</f>
        <v>4.0297879304026303</v>
      </c>
      <c r="F17" s="201">
        <f ca="1">TREND(D17:E17,$D$7:$E$7,$F$7)</f>
        <v>6.8057255529331542</v>
      </c>
      <c r="G17" s="204"/>
      <c r="H17" s="617"/>
      <c r="I17" s="589"/>
      <c r="J17" s="589"/>
      <c r="K17" s="1141"/>
      <c r="L17" s="589"/>
      <c r="M17" s="589"/>
      <c r="N17" s="589"/>
      <c r="O17" s="589"/>
    </row>
    <row r="18" spans="1:24" s="364" customFormat="1" ht="15" customHeight="1" x14ac:dyDescent="0.25">
      <c r="A18" s="617"/>
      <c r="B18" s="4"/>
      <c r="C18" s="351" t="s">
        <v>538</v>
      </c>
      <c r="D18" s="207">
        <f ca="1">VLOOKUP($F$8,OtherVariables!$B$383:$M$406, 5, FALSE)</f>
        <v>0.68177754625287856</v>
      </c>
      <c r="E18" s="207">
        <f ca="1">VLOOKUP($F$8,OtherVariables!$B$383:$M$406, 10, FALSE)</f>
        <v>0.19998051060907643</v>
      </c>
      <c r="F18" s="201">
        <f ca="1">TREND(D18:E18,$D$7:$E$7,$F$7)</f>
        <v>0.34451962130222569</v>
      </c>
      <c r="G18" s="204"/>
      <c r="H18" s="617"/>
      <c r="I18" s="589"/>
      <c r="J18" s="589"/>
      <c r="K18" s="1141"/>
      <c r="L18" s="589"/>
      <c r="M18" s="589"/>
      <c r="N18" s="589"/>
      <c r="O18" s="589"/>
    </row>
    <row r="19" spans="1:24" s="364" customFormat="1" ht="15" customHeight="1" x14ac:dyDescent="0.25">
      <c r="A19" s="617"/>
      <c r="B19" s="4"/>
      <c r="C19" s="351" t="s">
        <v>539</v>
      </c>
      <c r="D19" s="207">
        <f ca="1">VLOOKUP($F$8,OtherVariables!$B$383:$M$406, 6, FALSE)</f>
        <v>11.6746533759563</v>
      </c>
      <c r="E19" s="207">
        <f ca="1">VLOOKUP($F$8,OtherVariables!$B$383:$M$406, 11, FALSE)</f>
        <v>3.4796686853835102</v>
      </c>
      <c r="F19" s="201">
        <f ca="1">TREND(D19:E19,$D$7:$E$7,$F$7)</f>
        <v>5.9381640925553256</v>
      </c>
      <c r="G19" s="204"/>
      <c r="H19" s="617"/>
      <c r="I19" s="589"/>
      <c r="J19" s="589"/>
      <c r="K19" s="1141"/>
      <c r="L19" s="589"/>
      <c r="M19" s="589"/>
      <c r="N19" s="589"/>
      <c r="O19" s="589"/>
    </row>
    <row r="20" spans="1:24" s="364" customFormat="1" x14ac:dyDescent="0.25">
      <c r="A20" s="617"/>
      <c r="B20" s="4"/>
      <c r="C20" s="351" t="s">
        <v>540</v>
      </c>
      <c r="D20" s="207">
        <f ca="1">VLOOKUP($F$8,OtherVariables!$B$383:$M$406, 7, FALSE)</f>
        <v>0.80777607872203105</v>
      </c>
      <c r="E20" s="207">
        <f ca="1">VLOOKUP($F$8,OtherVariables!$B$383:$M$406, 12, FALSE)</f>
        <v>0.283500746614259</v>
      </c>
      <c r="F20" s="201">
        <f ca="1">TREND(D20:E20,$D$7:$E$7,$F$7)</f>
        <v>0.44078334624659021</v>
      </c>
      <c r="G20" s="204"/>
      <c r="H20" s="617"/>
      <c r="I20" s="589"/>
      <c r="J20" s="589"/>
      <c r="K20" s="1142"/>
      <c r="L20" s="589"/>
      <c r="M20" s="589"/>
      <c r="N20" s="589"/>
      <c r="O20" s="589"/>
    </row>
    <row r="21" spans="1:24" s="364" customFormat="1" x14ac:dyDescent="0.25">
      <c r="A21" s="617"/>
      <c r="B21" s="4"/>
      <c r="C21" s="696" t="s">
        <v>965</v>
      </c>
      <c r="D21" s="183"/>
      <c r="E21" s="183"/>
      <c r="F21" s="183"/>
      <c r="G21" s="204"/>
      <c r="H21" s="617"/>
      <c r="I21" s="589"/>
      <c r="J21" s="589"/>
      <c r="K21" s="1141"/>
      <c r="L21" s="589"/>
      <c r="M21" s="589"/>
      <c r="N21" s="589"/>
      <c r="O21" s="589"/>
    </row>
    <row r="22" spans="1:24" s="364" customFormat="1" x14ac:dyDescent="0.25">
      <c r="A22" s="617"/>
      <c r="B22" s="4"/>
      <c r="C22" s="351" t="s">
        <v>536</v>
      </c>
      <c r="D22" s="207">
        <f ca="1">VLOOKUP($F$9,OtherVariables!$B$383:$M$406, 3, FALSE)</f>
        <v>1158.6279649998201</v>
      </c>
      <c r="E22" s="207">
        <f ca="1">VLOOKUP($F$9,OtherVariables!$B$383:$M$406, 8, FALSE)</f>
        <v>1143.9017505930301</v>
      </c>
      <c r="F22" s="201">
        <f ca="1">TREND(D22:E22,$D$7:$E$7,$F$7)</f>
        <v>1148.3196149150672</v>
      </c>
      <c r="G22" s="204"/>
      <c r="H22" s="617"/>
      <c r="I22" s="589"/>
      <c r="J22" s="589"/>
      <c r="K22" s="1141"/>
      <c r="L22" s="589"/>
      <c r="M22" s="589"/>
      <c r="N22" s="589"/>
      <c r="O22" s="589"/>
    </row>
    <row r="23" spans="1:24" s="364" customFormat="1" ht="15" customHeight="1" x14ac:dyDescent="0.25">
      <c r="A23" s="617"/>
      <c r="B23" s="4"/>
      <c r="C23" s="351" t="s">
        <v>537</v>
      </c>
      <c r="D23" s="207">
        <f ca="1">VLOOKUP($F$9,OtherVariables!$B$383:$M$406, 4, FALSE)</f>
        <v>3.6998665201005001</v>
      </c>
      <c r="E23" s="207">
        <f ca="1">VLOOKUP($F$9,OtherVariables!$B$383:$M$406, 9, FALSE)</f>
        <v>3.1098012860768001</v>
      </c>
      <c r="F23" s="201">
        <f ca="1">TREND(D23:E23,$D$7:$E$7,$F$7)</f>
        <v>3.2868208562838959</v>
      </c>
      <c r="G23" s="204"/>
      <c r="H23" s="617"/>
      <c r="I23" s="589"/>
      <c r="J23" s="589"/>
      <c r="K23" s="1141"/>
      <c r="L23" s="589"/>
      <c r="M23" s="589"/>
      <c r="N23" s="589"/>
      <c r="O23" s="589"/>
    </row>
    <row r="24" spans="1:24" s="364" customFormat="1" x14ac:dyDescent="0.25">
      <c r="A24" s="617"/>
      <c r="B24" s="4"/>
      <c r="C24" s="351" t="s">
        <v>538</v>
      </c>
      <c r="D24" s="207">
        <f ca="1">VLOOKUP($F$9,OtherVariables!$B$383:$M$406, 5, FALSE)</f>
        <v>2.4664291734122622E-2</v>
      </c>
      <c r="E24" s="207">
        <f ca="1">VLOOKUP($F$9,OtherVariables!$B$383:$M$406, 10, FALSE)</f>
        <v>1.939808623160473E-2</v>
      </c>
      <c r="F24" s="201">
        <f ca="1">TREND(D24:E24,$D$7:$E$7,$F$7)</f>
        <v>2.0977947882360182E-2</v>
      </c>
      <c r="G24" s="204"/>
      <c r="H24" s="617"/>
      <c r="I24" s="589"/>
      <c r="J24" s="589"/>
      <c r="K24" s="1141"/>
      <c r="L24" s="589"/>
      <c r="M24" s="589"/>
      <c r="N24" s="589"/>
      <c r="O24" s="589"/>
    </row>
    <row r="25" spans="1:24" s="364" customFormat="1" ht="15" customHeight="1" x14ac:dyDescent="0.25">
      <c r="A25" s="617"/>
      <c r="B25" s="4"/>
      <c r="C25" s="351" t="s">
        <v>539</v>
      </c>
      <c r="D25" s="207">
        <f ca="1">VLOOKUP($F$9,OtherVariables!$B$383:$M$406, 6, FALSE)</f>
        <v>3.6998704386640502</v>
      </c>
      <c r="E25" s="207">
        <f ca="1">VLOOKUP($F$9,OtherVariables!$B$383:$M$406, 11, FALSE)</f>
        <v>3.1098018188262002</v>
      </c>
      <c r="F25" s="201">
        <f ca="1">TREND(D25:E25,$D$7:$E$7,$F$7)</f>
        <v>3.2868224047775527</v>
      </c>
      <c r="G25" s="204"/>
      <c r="H25" s="617"/>
      <c r="I25" s="589"/>
      <c r="J25" s="589"/>
      <c r="K25" s="1141"/>
      <c r="L25" s="589"/>
      <c r="M25" s="589"/>
      <c r="N25" s="589"/>
      <c r="O25" s="589"/>
    </row>
    <row r="26" spans="1:24" s="364" customFormat="1" x14ac:dyDescent="0.25">
      <c r="A26" s="617"/>
      <c r="B26" s="4"/>
      <c r="C26" s="351" t="s">
        <v>540</v>
      </c>
      <c r="D26" s="207">
        <f ca="1">VLOOKUP($F$9,OtherVariables!$B$383:$M$406, 7, FALSE)</f>
        <v>0</v>
      </c>
      <c r="E26" s="207">
        <f ca="1">VLOOKUP($F$9,OtherVariables!$B$383:$M$406, 12, FALSE)</f>
        <v>0</v>
      </c>
      <c r="F26" s="201">
        <f ca="1">TREND(D26:E26,$D$7:$E$7,$F$7)</f>
        <v>0</v>
      </c>
      <c r="G26" s="204"/>
      <c r="H26" s="617"/>
      <c r="I26" s="589"/>
      <c r="J26" s="589"/>
      <c r="K26" s="1141"/>
      <c r="L26" s="589"/>
      <c r="M26" s="589"/>
      <c r="N26" s="589"/>
      <c r="O26" s="589"/>
    </row>
    <row r="27" spans="1:24" s="364" customFormat="1" x14ac:dyDescent="0.25">
      <c r="A27" s="617"/>
      <c r="B27" s="4"/>
      <c r="C27" s="10"/>
      <c r="D27"/>
      <c r="E27"/>
      <c r="F27"/>
      <c r="G27" s="204"/>
      <c r="H27" s="617"/>
      <c r="I27" s="589"/>
      <c r="J27" s="589"/>
      <c r="K27" s="1141"/>
      <c r="L27" s="589"/>
      <c r="M27" s="589"/>
      <c r="N27" s="589"/>
      <c r="O27" s="589"/>
    </row>
    <row r="28" spans="1:24" ht="15" customHeight="1" x14ac:dyDescent="0.25">
      <c r="A28" s="617"/>
      <c r="B28" s="4"/>
      <c r="C28" s="1200" t="s">
        <v>700</v>
      </c>
      <c r="D28" s="1200"/>
      <c r="E28" s="1200"/>
      <c r="F28" s="1200"/>
      <c r="G28" s="204"/>
      <c r="H28" s="617"/>
      <c r="I28" s="611"/>
      <c r="J28" s="611"/>
      <c r="K28" s="1141"/>
      <c r="L28" s="611"/>
      <c r="M28" s="611"/>
      <c r="N28" s="611"/>
      <c r="O28" s="611"/>
    </row>
    <row r="29" spans="1:24" x14ac:dyDescent="0.25">
      <c r="A29" s="617"/>
      <c r="B29" s="4"/>
      <c r="C29" s="391"/>
      <c r="D29"/>
      <c r="E29"/>
      <c r="F29"/>
      <c r="G29" s="204"/>
      <c r="H29" s="617"/>
      <c r="I29" s="611"/>
      <c r="J29" s="611"/>
      <c r="K29" s="1141"/>
      <c r="L29" s="611"/>
      <c r="M29" s="611"/>
      <c r="N29" s="611"/>
      <c r="O29" s="611"/>
    </row>
    <row r="30" spans="1:24" x14ac:dyDescent="0.25">
      <c r="A30" s="741"/>
      <c r="B30" s="4"/>
      <c r="C30" s="351" t="s">
        <v>919</v>
      </c>
      <c r="D30" s="351"/>
      <c r="E30" s="351"/>
      <c r="F30" s="208">
        <f>F10*F11</f>
        <v>1370796</v>
      </c>
      <c r="G30" s="204"/>
      <c r="H30" s="741"/>
      <c r="I30" s="611"/>
      <c r="J30" s="611"/>
      <c r="K30" s="1141"/>
      <c r="L30" s="611"/>
      <c r="M30" s="611"/>
      <c r="N30" s="611"/>
      <c r="O30" s="611"/>
    </row>
    <row r="31" spans="1:24" x14ac:dyDescent="0.25">
      <c r="A31" s="617"/>
      <c r="B31" s="302"/>
      <c r="C31" s="224"/>
      <c r="D31" s="595"/>
      <c r="E31" s="595"/>
      <c r="F31" s="595"/>
      <c r="G31" s="35"/>
      <c r="H31" s="617"/>
    </row>
    <row r="32" spans="1:24" ht="15.75" x14ac:dyDescent="0.25">
      <c r="A32" s="617"/>
      <c r="B32" s="302"/>
      <c r="C32" s="1197" t="s">
        <v>701</v>
      </c>
      <c r="D32" s="1197"/>
      <c r="E32" s="1197"/>
      <c r="F32" s="1197"/>
      <c r="G32" s="35"/>
      <c r="H32" s="617"/>
      <c r="K32" s="1143"/>
      <c r="X32" s="328"/>
    </row>
    <row r="33" spans="1:17" ht="15.75" thickBot="1" x14ac:dyDescent="0.3">
      <c r="A33" s="617"/>
      <c r="B33" s="302"/>
      <c r="C33" s="615" t="s">
        <v>990</v>
      </c>
      <c r="D33" s="615"/>
      <c r="E33" s="615"/>
      <c r="F33" s="615"/>
      <c r="G33" s="35"/>
      <c r="H33" s="617"/>
    </row>
    <row r="34" spans="1:17" x14ac:dyDescent="0.25">
      <c r="A34" s="617"/>
      <c r="B34" s="302"/>
      <c r="C34" s="470" t="s">
        <v>124</v>
      </c>
      <c r="D34" s="470"/>
      <c r="E34" s="470"/>
      <c r="F34" s="1048" t="s">
        <v>360</v>
      </c>
      <c r="G34" s="35"/>
      <c r="H34" s="617"/>
    </row>
    <row r="35" spans="1:17" ht="15.75" thickBot="1" x14ac:dyDescent="0.3">
      <c r="A35" s="617"/>
      <c r="B35" s="302"/>
      <c r="C35" s="508" t="s">
        <v>52</v>
      </c>
      <c r="D35" s="508"/>
      <c r="E35" s="508"/>
      <c r="F35" s="1054" t="s">
        <v>360</v>
      </c>
      <c r="G35"/>
      <c r="H35" s="617"/>
      <c r="J35" s="585"/>
      <c r="K35" s="1086"/>
      <c r="L35" s="585"/>
      <c r="M35" s="585"/>
      <c r="N35" s="585"/>
      <c r="O35" s="585"/>
      <c r="P35" s="585"/>
      <c r="Q35" s="585"/>
    </row>
    <row r="36" spans="1:17" ht="15.75" thickBot="1" x14ac:dyDescent="0.3">
      <c r="A36" s="617"/>
      <c r="B36" s="302"/>
      <c r="C36" s="3"/>
      <c r="D36" s="303"/>
      <c r="E36" s="303"/>
      <c r="F36" s="83"/>
      <c r="G36" s="496"/>
      <c r="H36" s="617"/>
      <c r="K36" s="1141"/>
    </row>
    <row r="37" spans="1:17" x14ac:dyDescent="0.25">
      <c r="A37" s="617"/>
      <c r="B37" s="302"/>
      <c r="C37" s="802" t="s">
        <v>817</v>
      </c>
      <c r="D37" s="802"/>
      <c r="E37" s="802"/>
      <c r="F37" s="957">
        <f ca="1">(F16*$F$30)-(F22*$F$30)</f>
        <v>330665839.20973897</v>
      </c>
      <c r="G37" s="35"/>
      <c r="H37" s="617"/>
      <c r="K37" s="1143"/>
    </row>
    <row r="38" spans="1:17" x14ac:dyDescent="0.25">
      <c r="A38" s="617"/>
      <c r="B38" s="302"/>
      <c r="C38" s="803" t="s">
        <v>818</v>
      </c>
      <c r="D38" s="803"/>
      <c r="E38" s="803"/>
      <c r="F38" s="958">
        <f t="shared" ref="F38:F41" ca="1" si="0">(F17*$F$30)-(F23*$F$30)</f>
        <v>4823700.4825480171</v>
      </c>
      <c r="G38" s="35"/>
      <c r="H38" s="617"/>
    </row>
    <row r="39" spans="1:17" x14ac:dyDescent="0.25">
      <c r="A39" s="617"/>
      <c r="B39" s="302"/>
      <c r="C39" s="803" t="s">
        <v>819</v>
      </c>
      <c r="D39" s="803"/>
      <c r="E39" s="803"/>
      <c r="F39" s="958">
        <f t="shared" ca="1" si="0"/>
        <v>443509.63175725797</v>
      </c>
      <c r="G39" s="35"/>
      <c r="H39" s="617"/>
    </row>
    <row r="40" spans="1:17" x14ac:dyDescent="0.25">
      <c r="A40" s="617"/>
      <c r="B40" s="302"/>
      <c r="C40" s="803" t="s">
        <v>820</v>
      </c>
      <c r="D40" s="803"/>
      <c r="E40" s="803"/>
      <c r="F40" s="958">
        <f t="shared" ca="1" si="0"/>
        <v>3634448.5802390203</v>
      </c>
      <c r="G40" s="35"/>
      <c r="H40" s="617"/>
    </row>
    <row r="41" spans="1:17" ht="15.75" thickBot="1" x14ac:dyDescent="0.3">
      <c r="A41" s="617"/>
      <c r="B41" s="302"/>
      <c r="C41" s="803" t="s">
        <v>821</v>
      </c>
      <c r="D41" s="803"/>
      <c r="E41" s="803"/>
      <c r="F41" s="959">
        <f t="shared" ca="1" si="0"/>
        <v>604224.04790144088</v>
      </c>
      <c r="G41"/>
      <c r="H41" s="617"/>
    </row>
    <row r="42" spans="1:17" x14ac:dyDescent="0.25">
      <c r="A42" s="617"/>
      <c r="B42" s="302"/>
      <c r="C42" s="802" t="s">
        <v>974</v>
      </c>
      <c r="D42" s="802"/>
      <c r="E42" s="802"/>
      <c r="F42" s="946">
        <f ca="1">(F37*0.00000110231)/$F$14</f>
        <v>1.4579850448771496</v>
      </c>
      <c r="G42" s="496"/>
      <c r="H42" s="617"/>
    </row>
    <row r="43" spans="1:17" x14ac:dyDescent="0.25">
      <c r="A43" s="617"/>
      <c r="B43" s="302"/>
      <c r="C43" s="803" t="s">
        <v>975</v>
      </c>
      <c r="D43" s="803"/>
      <c r="E43" s="803"/>
      <c r="F43" s="1166">
        <f t="shared" ref="F43:F46" ca="1" si="1">(F38*0.00000110231)/$F$14</f>
        <v>2.1268853115670019E-2</v>
      </c>
      <c r="G43" s="35"/>
      <c r="H43" s="617"/>
    </row>
    <row r="44" spans="1:17" x14ac:dyDescent="0.25">
      <c r="A44" s="617"/>
      <c r="B44" s="302"/>
      <c r="C44" s="803" t="s">
        <v>976</v>
      </c>
      <c r="D44" s="803"/>
      <c r="E44" s="803"/>
      <c r="F44" s="1166">
        <f t="shared" ca="1" si="1"/>
        <v>1.9555404087293724E-3</v>
      </c>
      <c r="G44" s="35"/>
      <c r="H44" s="617"/>
    </row>
    <row r="45" spans="1:17" x14ac:dyDescent="0.25">
      <c r="A45" s="617"/>
      <c r="B45" s="302"/>
      <c r="C45" s="803" t="s">
        <v>977</v>
      </c>
      <c r="D45" s="803"/>
      <c r="E45" s="803"/>
      <c r="F45" s="1166">
        <f t="shared" ca="1" si="1"/>
        <v>1.6025156057933098E-2</v>
      </c>
      <c r="G45" s="35"/>
      <c r="H45" s="617"/>
    </row>
    <row r="46" spans="1:17" ht="15.75" thickBot="1" x14ac:dyDescent="0.3">
      <c r="A46" s="617"/>
      <c r="B46" s="302"/>
      <c r="C46" s="1184" t="s">
        <v>978</v>
      </c>
      <c r="D46" s="1184"/>
      <c r="E46" s="1184"/>
      <c r="F46" s="1167">
        <f t="shared" ca="1" si="1"/>
        <v>2.6641688409689492E-3</v>
      </c>
      <c r="G46" s="35"/>
      <c r="H46" s="617"/>
    </row>
    <row r="47" spans="1:17" x14ac:dyDescent="0.25">
      <c r="A47" s="617"/>
      <c r="B47" s="302"/>
      <c r="C47"/>
      <c r="D47"/>
      <c r="E47"/>
      <c r="F47"/>
      <c r="G47"/>
      <c r="H47" s="617"/>
    </row>
    <row r="48" spans="1:17" x14ac:dyDescent="0.25">
      <c r="A48" s="617"/>
      <c r="B48" s="617"/>
      <c r="C48" s="617"/>
      <c r="D48" s="617"/>
      <c r="E48" s="617"/>
      <c r="F48" s="617"/>
      <c r="G48" s="617"/>
      <c r="H48" s="617"/>
    </row>
  </sheetData>
  <mergeCells count="5">
    <mergeCell ref="C32:F32"/>
    <mergeCell ref="C3:F3"/>
    <mergeCell ref="C5:F5"/>
    <mergeCell ref="C13:F13"/>
    <mergeCell ref="C28:F28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OtherVariables!$B$383:$B$406</xm:f>
          </x14:formula1>
          <xm:sqref>F8:F9</xm:sqref>
        </x14:dataValidation>
        <x14:dataValidation type="list" allowBlank="1" showInputMessage="1" showErrorMessage="1">
          <x14:formula1>
            <xm:f>OtherVariables!$I$121:$I$131</xm:f>
          </x14:formula1>
          <xm:sqref>F7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86"/>
  <sheetViews>
    <sheetView topLeftCell="O1" zoomScale="70" zoomScaleNormal="70" workbookViewId="0">
      <pane ySplit="3" topLeftCell="A4" activePane="bottomLeft" state="frozenSplit"/>
      <selection pane="bottomLeft" activeCell="U1" sqref="U1:AL1"/>
    </sheetView>
  </sheetViews>
  <sheetFormatPr defaultRowHeight="15" x14ac:dyDescent="0.25"/>
  <cols>
    <col min="1" max="1" width="13.28515625" style="302" bestFit="1" customWidth="1"/>
    <col min="2" max="2" width="13.28515625" style="302" customWidth="1"/>
    <col min="3" max="3" width="9.140625" style="302"/>
    <col min="4" max="4" width="12.42578125" style="302" bestFit="1" customWidth="1"/>
    <col min="5" max="18" width="24.28515625" style="302" bestFit="1" customWidth="1"/>
    <col min="19" max="19" width="11.7109375" style="302" bestFit="1" customWidth="1"/>
    <col min="20" max="20" width="9.140625" style="302"/>
    <col min="21" max="21" width="14.28515625" style="302" bestFit="1" customWidth="1"/>
    <col min="22" max="22" width="9.140625" style="302"/>
    <col min="23" max="23" width="10.140625" style="302" bestFit="1" customWidth="1"/>
    <col min="24" max="38" width="10.7109375" style="302" bestFit="1" customWidth="1"/>
    <col min="39" max="16384" width="9.140625" style="302"/>
  </cols>
  <sheetData>
    <row r="1" spans="1:38" x14ac:dyDescent="0.25">
      <c r="A1" s="1296" t="s">
        <v>438</v>
      </c>
      <c r="B1" s="1297"/>
      <c r="C1" s="1297"/>
      <c r="D1" s="1297"/>
      <c r="E1" s="1297"/>
      <c r="F1" s="1297"/>
      <c r="G1" s="1297"/>
      <c r="H1" s="1297"/>
      <c r="I1" s="1297"/>
      <c r="J1" s="1297"/>
      <c r="K1" s="1297"/>
      <c r="L1" s="1297"/>
      <c r="M1" s="1297"/>
      <c r="N1" s="1297"/>
      <c r="O1" s="1297"/>
      <c r="P1" s="1297"/>
      <c r="Q1" s="1297"/>
      <c r="R1" s="1297"/>
      <c r="S1" s="1298"/>
      <c r="U1" s="1299" t="s">
        <v>439</v>
      </c>
      <c r="V1" s="1300"/>
      <c r="W1" s="1300"/>
      <c r="X1" s="1300"/>
      <c r="Y1" s="1300"/>
      <c r="Z1" s="1300"/>
      <c r="AA1" s="1300"/>
      <c r="AB1" s="1300"/>
      <c r="AC1" s="1300"/>
      <c r="AD1" s="1300"/>
      <c r="AE1" s="1300"/>
      <c r="AF1" s="1300"/>
      <c r="AG1" s="1300"/>
      <c r="AH1" s="1300"/>
      <c r="AI1" s="1300"/>
      <c r="AJ1" s="1300"/>
      <c r="AK1" s="1300"/>
      <c r="AL1" s="1301"/>
    </row>
    <row r="2" spans="1:38" x14ac:dyDescent="0.25">
      <c r="A2" s="179"/>
      <c r="B2" s="179"/>
      <c r="C2" s="179"/>
      <c r="D2" s="179"/>
      <c r="E2" s="1296" t="s">
        <v>323</v>
      </c>
      <c r="F2" s="1297"/>
      <c r="G2" s="1297"/>
      <c r="H2" s="1297"/>
      <c r="I2" s="1298"/>
      <c r="J2" s="1296" t="s">
        <v>273</v>
      </c>
      <c r="K2" s="1297"/>
      <c r="L2" s="1297"/>
      <c r="M2" s="1297"/>
      <c r="N2" s="1298"/>
      <c r="O2" s="1296" t="s">
        <v>324</v>
      </c>
      <c r="P2" s="1297"/>
      <c r="Q2" s="1297"/>
      <c r="R2" s="1297"/>
      <c r="S2" s="1298"/>
      <c r="U2" s="180"/>
      <c r="V2" s="180"/>
      <c r="W2" s="180"/>
      <c r="X2" s="1299" t="s">
        <v>323</v>
      </c>
      <c r="Y2" s="1300"/>
      <c r="Z2" s="1300"/>
      <c r="AA2" s="1300"/>
      <c r="AB2" s="1301"/>
      <c r="AC2" s="1299" t="s">
        <v>273</v>
      </c>
      <c r="AD2" s="1300"/>
      <c r="AE2" s="1300"/>
      <c r="AF2" s="1300"/>
      <c r="AG2" s="1301"/>
      <c r="AH2" s="1299" t="s">
        <v>324</v>
      </c>
      <c r="AI2" s="1300"/>
      <c r="AJ2" s="1300"/>
      <c r="AK2" s="1300"/>
      <c r="AL2" s="1301"/>
    </row>
    <row r="3" spans="1:38" x14ac:dyDescent="0.25">
      <c r="A3" s="179" t="s">
        <v>327</v>
      </c>
      <c r="B3" s="179" t="s">
        <v>328</v>
      </c>
      <c r="C3" s="179" t="s">
        <v>329</v>
      </c>
      <c r="D3" s="179" t="s">
        <v>330</v>
      </c>
      <c r="E3" s="179">
        <v>2</v>
      </c>
      <c r="F3" s="179">
        <v>3</v>
      </c>
      <c r="G3" s="179">
        <v>4</v>
      </c>
      <c r="H3" s="179">
        <v>5</v>
      </c>
      <c r="I3" s="179" t="s">
        <v>331</v>
      </c>
      <c r="J3" s="179">
        <v>2</v>
      </c>
      <c r="K3" s="179">
        <v>3</v>
      </c>
      <c r="L3" s="179">
        <v>4</v>
      </c>
      <c r="M3" s="179">
        <v>5</v>
      </c>
      <c r="N3" s="179" t="s">
        <v>331</v>
      </c>
      <c r="O3" s="179">
        <v>2</v>
      </c>
      <c r="P3" s="179">
        <v>3</v>
      </c>
      <c r="Q3" s="179">
        <v>4</v>
      </c>
      <c r="R3" s="179">
        <v>5</v>
      </c>
      <c r="S3" s="179" t="s">
        <v>331</v>
      </c>
      <c r="U3" s="180" t="s">
        <v>327</v>
      </c>
      <c r="V3" s="180" t="s">
        <v>328</v>
      </c>
      <c r="W3" s="180" t="s">
        <v>329</v>
      </c>
      <c r="X3" s="180">
        <v>2</v>
      </c>
      <c r="Y3" s="180">
        <v>3</v>
      </c>
      <c r="Z3" s="180">
        <v>4</v>
      </c>
      <c r="AA3" s="180">
        <v>5</v>
      </c>
      <c r="AB3" s="180" t="s">
        <v>331</v>
      </c>
      <c r="AC3" s="180">
        <v>2</v>
      </c>
      <c r="AD3" s="180">
        <v>3</v>
      </c>
      <c r="AE3" s="180">
        <v>4</v>
      </c>
      <c r="AF3" s="180">
        <v>5</v>
      </c>
      <c r="AG3" s="180" t="s">
        <v>331</v>
      </c>
      <c r="AH3" s="180">
        <v>2</v>
      </c>
      <c r="AI3" s="180">
        <v>3</v>
      </c>
      <c r="AJ3" s="180">
        <v>4</v>
      </c>
      <c r="AK3" s="180">
        <v>5</v>
      </c>
      <c r="AL3" s="180" t="s">
        <v>331</v>
      </c>
    </row>
    <row r="4" spans="1:38" x14ac:dyDescent="0.25">
      <c r="A4" s="44" t="s">
        <v>332</v>
      </c>
      <c r="B4" s="44" t="s">
        <v>333</v>
      </c>
      <c r="C4" s="44" t="s">
        <v>334</v>
      </c>
      <c r="D4" s="44">
        <v>2.5</v>
      </c>
      <c r="E4" s="44">
        <v>2295.0644570731019</v>
      </c>
      <c r="F4" s="44">
        <v>2205.6189534363848</v>
      </c>
      <c r="G4" s="44">
        <v>2239.4400615927152</v>
      </c>
      <c r="H4" s="44">
        <v>2205.1626576123599</v>
      </c>
      <c r="I4" s="210">
        <v>2222.8631266903294</v>
      </c>
      <c r="J4" s="44">
        <v>7741.4322513112393</v>
      </c>
      <c r="K4" s="44">
        <v>6405.3098051232273</v>
      </c>
      <c r="L4" s="44">
        <v>7778.0721360812149</v>
      </c>
      <c r="M4" s="44">
        <v>6404.1268519951445</v>
      </c>
      <c r="N4" s="210">
        <v>6930.5622527777596</v>
      </c>
      <c r="O4" s="44">
        <v>8383.3829002407401</v>
      </c>
      <c r="P4" s="44">
        <v>8463.0333408051811</v>
      </c>
      <c r="Q4" s="44">
        <v>8482.2362354008274</v>
      </c>
      <c r="R4" s="44">
        <v>8461.5372834252339</v>
      </c>
      <c r="S4" s="210">
        <v>8461.9240624590693</v>
      </c>
      <c r="T4" s="214"/>
      <c r="U4" s="44" t="s">
        <v>332</v>
      </c>
      <c r="V4" s="44" t="s">
        <v>199</v>
      </c>
      <c r="W4" s="44" t="s">
        <v>334</v>
      </c>
      <c r="X4" s="168">
        <v>3752.0529469929447</v>
      </c>
      <c r="Y4" s="168">
        <v>3746.6087045635363</v>
      </c>
      <c r="Z4" s="168">
        <v>3754.4755775732942</v>
      </c>
      <c r="AA4" s="168">
        <v>3750.1554293989252</v>
      </c>
      <c r="AB4" s="168">
        <v>3750.9003016633078</v>
      </c>
      <c r="AC4" s="168">
        <v>7862.5558244177246</v>
      </c>
      <c r="AD4" s="168">
        <v>7862.5948357793541</v>
      </c>
      <c r="AE4" s="168">
        <v>7862.9961992174249</v>
      </c>
      <c r="AF4" s="168">
        <v>7862.9002654292517</v>
      </c>
      <c r="AG4" s="168">
        <v>7862.8647235697999</v>
      </c>
      <c r="AH4" s="168">
        <v>7723.3422184482224</v>
      </c>
      <c r="AI4" s="168">
        <v>7721.8464999148437</v>
      </c>
      <c r="AJ4" s="168">
        <v>7723.4098381117774</v>
      </c>
      <c r="AK4" s="168">
        <v>7721.7564258379944</v>
      </c>
      <c r="AL4" s="168">
        <v>7722.351052989884</v>
      </c>
    </row>
    <row r="5" spans="1:38" x14ac:dyDescent="0.25">
      <c r="A5" s="44" t="s">
        <v>332</v>
      </c>
      <c r="B5" s="44" t="s">
        <v>333</v>
      </c>
      <c r="C5" s="44" t="s">
        <v>334</v>
      </c>
      <c r="D5" s="44">
        <v>5</v>
      </c>
      <c r="E5" s="44">
        <v>1265.3910545745014</v>
      </c>
      <c r="F5" s="44">
        <v>1246.0504761225407</v>
      </c>
      <c r="G5" s="44">
        <v>1245.0810170331144</v>
      </c>
      <c r="H5" s="44">
        <v>1245.8132941826466</v>
      </c>
      <c r="I5" s="210">
        <v>1247.1867763634052</v>
      </c>
      <c r="J5" s="44">
        <v>4136.0840365082886</v>
      </c>
      <c r="K5" s="44">
        <v>3242.0717463298693</v>
      </c>
      <c r="L5" s="44">
        <v>4044.5483005138963</v>
      </c>
      <c r="M5" s="44">
        <v>3241.4773638448469</v>
      </c>
      <c r="N5" s="210">
        <v>3558.1330168430895</v>
      </c>
      <c r="O5" s="44">
        <v>4353.9840335513718</v>
      </c>
      <c r="P5" s="44">
        <v>4271.0233457573995</v>
      </c>
      <c r="Q5" s="44">
        <v>4315.3042922352324</v>
      </c>
      <c r="R5" s="44">
        <v>4270.2708880913524</v>
      </c>
      <c r="S5" s="210">
        <v>4290.8206734396117</v>
      </c>
      <c r="U5" s="44" t="s">
        <v>332</v>
      </c>
      <c r="V5" s="44" t="s">
        <v>333</v>
      </c>
      <c r="W5" s="182" t="s">
        <v>335</v>
      </c>
      <c r="X5" s="168">
        <v>2.9538687567527466</v>
      </c>
      <c r="Y5" s="168">
        <v>2.9561935210307189</v>
      </c>
      <c r="Z5" s="168">
        <v>2.9484445741085969</v>
      </c>
      <c r="AA5" s="168">
        <v>2.9533052825189627</v>
      </c>
      <c r="AB5" s="168">
        <v>2.9522376685274958</v>
      </c>
      <c r="AC5" s="168">
        <v>91.253186944274063</v>
      </c>
      <c r="AD5" s="168">
        <v>91.237749586646629</v>
      </c>
      <c r="AE5" s="168">
        <v>91.250225467269914</v>
      </c>
      <c r="AF5" s="168">
        <v>91.267266753084101</v>
      </c>
      <c r="AG5" s="168">
        <v>91.254935370362205</v>
      </c>
      <c r="AH5" s="168">
        <v>71.205954571295706</v>
      </c>
      <c r="AI5" s="168">
        <v>71.354224286283397</v>
      </c>
      <c r="AJ5" s="168">
        <v>71.130868292886703</v>
      </c>
      <c r="AK5" s="168">
        <v>71.3290518391386</v>
      </c>
      <c r="AL5" s="168">
        <v>71.266992895654184</v>
      </c>
    </row>
    <row r="6" spans="1:38" x14ac:dyDescent="0.25">
      <c r="A6" s="44" t="s">
        <v>332</v>
      </c>
      <c r="B6" s="44" t="s">
        <v>333</v>
      </c>
      <c r="C6" s="44" t="s">
        <v>334</v>
      </c>
      <c r="D6" s="44">
        <v>10</v>
      </c>
      <c r="E6" s="44">
        <v>747.25845062318183</v>
      </c>
      <c r="F6" s="44">
        <v>766.26527786324607</v>
      </c>
      <c r="G6" s="44">
        <v>748.10124907035561</v>
      </c>
      <c r="H6" s="44">
        <v>766.13860778024753</v>
      </c>
      <c r="I6" s="210">
        <v>759.14770494605511</v>
      </c>
      <c r="J6" s="44">
        <v>2535.7656487232239</v>
      </c>
      <c r="K6" s="44">
        <v>1867.3821260188483</v>
      </c>
      <c r="L6" s="44">
        <v>2537.9353062792406</v>
      </c>
      <c r="M6" s="44">
        <v>1867.0637943490292</v>
      </c>
      <c r="N6" s="210">
        <v>2125.3146152224613</v>
      </c>
      <c r="O6" s="44">
        <v>2608.2547734183586</v>
      </c>
      <c r="P6" s="44">
        <v>2654.9388958985173</v>
      </c>
      <c r="Q6" s="44">
        <v>2637.6519469530635</v>
      </c>
      <c r="R6" s="44">
        <v>2654.5160734861843</v>
      </c>
      <c r="S6" s="210">
        <v>2645.761825545736</v>
      </c>
      <c r="U6" s="182" t="s">
        <v>332</v>
      </c>
      <c r="V6" s="44" t="s">
        <v>333</v>
      </c>
      <c r="W6" s="44" t="s">
        <v>336</v>
      </c>
      <c r="X6" s="168">
        <v>0.19851727504939592</v>
      </c>
      <c r="Y6" s="168">
        <v>0.19816677437368263</v>
      </c>
      <c r="Z6" s="168">
        <v>0.19866275444270112</v>
      </c>
      <c r="AA6" s="168">
        <v>0.1982779295154023</v>
      </c>
      <c r="AB6" s="168">
        <v>0.19839204428158921</v>
      </c>
      <c r="AC6" s="168">
        <v>5.3206111471528006</v>
      </c>
      <c r="AD6" s="168">
        <v>5.320685980544404</v>
      </c>
      <c r="AE6" s="168">
        <v>5.3206400415913269</v>
      </c>
      <c r="AF6" s="168">
        <v>5.3206328662948907</v>
      </c>
      <c r="AG6" s="168">
        <v>5.3206458541232546</v>
      </c>
      <c r="AH6" s="168">
        <v>4.007816359011251</v>
      </c>
      <c r="AI6" s="168">
        <v>4.0067767189146233</v>
      </c>
      <c r="AJ6" s="168">
        <v>4.0093156323062002</v>
      </c>
      <c r="AK6" s="168">
        <v>4.0115132052798339</v>
      </c>
      <c r="AL6" s="168">
        <v>4.0096486656834633</v>
      </c>
    </row>
    <row r="7" spans="1:38" x14ac:dyDescent="0.25">
      <c r="A7" s="44" t="s">
        <v>332</v>
      </c>
      <c r="B7" s="44" t="s">
        <v>333</v>
      </c>
      <c r="C7" s="44" t="s">
        <v>334</v>
      </c>
      <c r="D7" s="44">
        <v>15</v>
      </c>
      <c r="E7" s="44">
        <v>589.6416842031515</v>
      </c>
      <c r="F7" s="44">
        <v>606.33688637072089</v>
      </c>
      <c r="G7" s="44">
        <v>591.05309866161974</v>
      </c>
      <c r="H7" s="44">
        <v>606.24630221721952</v>
      </c>
      <c r="I7" s="210">
        <v>600.29913967240884</v>
      </c>
      <c r="J7" s="44">
        <v>2071.7974749549239</v>
      </c>
      <c r="K7" s="44">
        <v>1428.7126802936975</v>
      </c>
      <c r="L7" s="44">
        <v>2091.10635988282</v>
      </c>
      <c r="M7" s="44">
        <v>1428.4802972558198</v>
      </c>
      <c r="N7" s="210">
        <v>1682.1790305227692</v>
      </c>
      <c r="O7" s="44">
        <v>2251.6810770051748</v>
      </c>
      <c r="P7" s="44">
        <v>2327.8700966455503</v>
      </c>
      <c r="Q7" s="44">
        <v>2298.3368867885683</v>
      </c>
      <c r="R7" s="44">
        <v>2327.5365716207848</v>
      </c>
      <c r="S7" s="210">
        <v>2312.6448995808046</v>
      </c>
      <c r="U7" s="182" t="s">
        <v>332</v>
      </c>
      <c r="V7" s="182" t="s">
        <v>337</v>
      </c>
      <c r="W7" s="182" t="s">
        <v>335</v>
      </c>
      <c r="X7" s="168">
        <v>5.7317586519964241</v>
      </c>
      <c r="Y7" s="168">
        <v>5.6963441133351171</v>
      </c>
      <c r="Z7" s="168">
        <v>5.8043846357813145</v>
      </c>
      <c r="AA7" s="168">
        <v>5.7506919080364867</v>
      </c>
      <c r="AB7" s="168">
        <v>5.755505625407392</v>
      </c>
      <c r="AC7" s="168">
        <v>80.092342364650193</v>
      </c>
      <c r="AD7" s="168">
        <v>80.065894340709022</v>
      </c>
      <c r="AE7" s="168">
        <v>79.985468252705317</v>
      </c>
      <c r="AF7" s="168">
        <v>79.961780625501305</v>
      </c>
      <c r="AG7" s="168">
        <v>79.997397203791806</v>
      </c>
      <c r="AH7" s="168">
        <v>62.384740849903153</v>
      </c>
      <c r="AI7" s="168">
        <v>62.389691850166173</v>
      </c>
      <c r="AJ7" s="168">
        <v>62.438285687056975</v>
      </c>
      <c r="AK7" s="168">
        <v>62.384216925604633</v>
      </c>
      <c r="AL7" s="168">
        <v>62.401660342818353</v>
      </c>
    </row>
    <row r="8" spans="1:38" x14ac:dyDescent="0.25">
      <c r="A8" s="44" t="s">
        <v>332</v>
      </c>
      <c r="B8" s="44" t="s">
        <v>333</v>
      </c>
      <c r="C8" s="44" t="s">
        <v>334</v>
      </c>
      <c r="D8" s="44">
        <v>20</v>
      </c>
      <c r="E8" s="44">
        <v>496.3807677071116</v>
      </c>
      <c r="F8" s="44">
        <v>523.30292740454524</v>
      </c>
      <c r="G8" s="44">
        <v>492.92846782955115</v>
      </c>
      <c r="H8" s="44">
        <v>523.23034893439603</v>
      </c>
      <c r="I8" s="210">
        <v>511.84762742045189</v>
      </c>
      <c r="J8" s="44">
        <v>1840.8918850707889</v>
      </c>
      <c r="K8" s="44">
        <v>1352.8125933882513</v>
      </c>
      <c r="L8" s="44">
        <v>1846.3383998321626</v>
      </c>
      <c r="M8" s="44">
        <v>1352.6132860875741</v>
      </c>
      <c r="N8" s="210">
        <v>1542.3600092418887</v>
      </c>
      <c r="O8" s="44">
        <v>2039.1758912932698</v>
      </c>
      <c r="P8" s="44">
        <v>2078.3231181579308</v>
      </c>
      <c r="Q8" s="44">
        <v>2063.0434989658584</v>
      </c>
      <c r="R8" s="44">
        <v>2078.0440505351435</v>
      </c>
      <c r="S8" s="210">
        <v>2070.4210595370619</v>
      </c>
      <c r="U8" s="182" t="s">
        <v>332</v>
      </c>
      <c r="V8" s="182" t="s">
        <v>337</v>
      </c>
      <c r="W8" s="182" t="s">
        <v>338</v>
      </c>
      <c r="X8" s="168">
        <v>2.7572249075900621</v>
      </c>
      <c r="Y8" s="168">
        <v>2.7628725262625182</v>
      </c>
      <c r="Z8" s="168">
        <v>2.7455268512671833</v>
      </c>
      <c r="AA8" s="168">
        <v>2.7563171883602031</v>
      </c>
      <c r="AB8" s="168">
        <v>2.7543105969503339</v>
      </c>
      <c r="AC8" s="168">
        <v>12.729084748892895</v>
      </c>
      <c r="AD8" s="168">
        <v>12.727579618234891</v>
      </c>
      <c r="AE8" s="168">
        <v>12.72989845769232</v>
      </c>
      <c r="AF8" s="168">
        <v>12.728897943694495</v>
      </c>
      <c r="AG8" s="168">
        <v>12.7289773811126</v>
      </c>
      <c r="AH8" s="168">
        <v>12.069387481879653</v>
      </c>
      <c r="AI8" s="168">
        <v>12.069889984798925</v>
      </c>
      <c r="AJ8" s="168">
        <v>12.07906136635461</v>
      </c>
      <c r="AK8" s="168">
        <v>12.080736916491883</v>
      </c>
      <c r="AL8" s="168">
        <v>12.077454219452086</v>
      </c>
    </row>
    <row r="9" spans="1:38" x14ac:dyDescent="0.25">
      <c r="A9" s="44" t="s">
        <v>332</v>
      </c>
      <c r="B9" s="44" t="s">
        <v>333</v>
      </c>
      <c r="C9" s="44" t="s">
        <v>334</v>
      </c>
      <c r="D9" s="44">
        <v>25</v>
      </c>
      <c r="E9" s="44">
        <v>445.69509405744537</v>
      </c>
      <c r="F9" s="44">
        <v>467.30096765384144</v>
      </c>
      <c r="G9" s="44">
        <v>441.2077943703851</v>
      </c>
      <c r="H9" s="44">
        <v>467.24000107844614</v>
      </c>
      <c r="I9" s="210">
        <v>457.58175452650249</v>
      </c>
      <c r="J9" s="44">
        <v>1689.6326370348152</v>
      </c>
      <c r="K9" s="44">
        <v>1295.0323400069942</v>
      </c>
      <c r="L9" s="44">
        <v>1669.8461092905557</v>
      </c>
      <c r="M9" s="44">
        <v>1294.8501668624838</v>
      </c>
      <c r="N9" s="210">
        <v>1440.8729281216715</v>
      </c>
      <c r="O9" s="44">
        <v>1914.4801382765747</v>
      </c>
      <c r="P9" s="44">
        <v>1911.851801668741</v>
      </c>
      <c r="Q9" s="44">
        <v>1912.6130844393956</v>
      </c>
      <c r="R9" s="44">
        <v>1911.607858886845</v>
      </c>
      <c r="S9" s="210">
        <v>1912.1868081121252</v>
      </c>
    </row>
    <row r="10" spans="1:38" x14ac:dyDescent="0.25">
      <c r="A10" s="44" t="s">
        <v>332</v>
      </c>
      <c r="B10" s="44" t="s">
        <v>333</v>
      </c>
      <c r="C10" s="44" t="s">
        <v>334</v>
      </c>
      <c r="D10" s="44">
        <v>30</v>
      </c>
      <c r="E10" s="44">
        <v>421.55726053600489</v>
      </c>
      <c r="F10" s="44">
        <v>417.20115410686225</v>
      </c>
      <c r="G10" s="44">
        <v>411.23079794946125</v>
      </c>
      <c r="H10" s="44">
        <v>417.14826265007395</v>
      </c>
      <c r="I10" s="210">
        <v>415.69897047059499</v>
      </c>
      <c r="J10" s="44">
        <v>1663.3438969966687</v>
      </c>
      <c r="K10" s="44">
        <v>1284.8493349156204</v>
      </c>
      <c r="L10" s="44">
        <v>1626.3489144586595</v>
      </c>
      <c r="M10" s="44">
        <v>1284.6797832255288</v>
      </c>
      <c r="N10" s="210">
        <v>1419.232296994267</v>
      </c>
      <c r="O10" s="44">
        <v>1894.6847625306573</v>
      </c>
      <c r="P10" s="44">
        <v>1856.9526782894452</v>
      </c>
      <c r="Q10" s="44">
        <v>1871.1871436211061</v>
      </c>
      <c r="R10" s="44">
        <v>1856.7266067955484</v>
      </c>
      <c r="S10" s="210">
        <v>1864.2023570356291</v>
      </c>
    </row>
    <row r="11" spans="1:38" x14ac:dyDescent="0.25">
      <c r="A11" s="205" t="s">
        <v>332</v>
      </c>
      <c r="B11" s="205" t="s">
        <v>333</v>
      </c>
      <c r="C11" s="205" t="s">
        <v>334</v>
      </c>
      <c r="D11" s="205">
        <v>35</v>
      </c>
      <c r="E11" s="205">
        <v>420.93434172252569</v>
      </c>
      <c r="F11" s="205">
        <v>395.68074162342288</v>
      </c>
      <c r="G11" s="205">
        <v>402.42691172007216</v>
      </c>
      <c r="H11" s="205">
        <v>394.11003189819735</v>
      </c>
      <c r="I11" s="213">
        <v>399.0632574243163</v>
      </c>
      <c r="J11" s="205">
        <v>1475.6682823488727</v>
      </c>
      <c r="K11" s="205">
        <v>1132.4139396266646</v>
      </c>
      <c r="L11" s="205">
        <v>1394.8864800277504</v>
      </c>
      <c r="M11" s="205">
        <v>1132.2631612105192</v>
      </c>
      <c r="N11" s="213">
        <v>1239.8480379774398</v>
      </c>
      <c r="O11" s="205">
        <v>1684.589402381215</v>
      </c>
      <c r="P11" s="205">
        <v>1566.2264943925154</v>
      </c>
      <c r="Q11" s="205">
        <v>1611.3918425428881</v>
      </c>
      <c r="R11" s="205">
        <v>1566.0326061069266</v>
      </c>
      <c r="S11" s="213">
        <v>1589.3498995286848</v>
      </c>
      <c r="U11" s="1286" t="s">
        <v>340</v>
      </c>
      <c r="V11" s="1286"/>
      <c r="W11" s="1286"/>
      <c r="X11" s="1286"/>
      <c r="Y11" s="1286"/>
      <c r="Z11" s="1286"/>
      <c r="AA11" s="1286"/>
      <c r="AB11" s="1286"/>
    </row>
    <row r="12" spans="1:38" x14ac:dyDescent="0.25">
      <c r="A12" s="44" t="s">
        <v>332</v>
      </c>
      <c r="B12" s="44" t="s">
        <v>333</v>
      </c>
      <c r="C12" s="44" t="s">
        <v>334</v>
      </c>
      <c r="D12" s="44">
        <v>40</v>
      </c>
      <c r="E12" s="44">
        <v>418.88585538090524</v>
      </c>
      <c r="F12" s="44">
        <v>382.95425274569106</v>
      </c>
      <c r="G12" s="44">
        <v>395.82465626602391</v>
      </c>
      <c r="H12" s="44">
        <v>379.902268611301</v>
      </c>
      <c r="I12" s="210">
        <v>388.41048960490019</v>
      </c>
      <c r="J12" s="44">
        <v>1455.066850781571</v>
      </c>
      <c r="K12" s="44">
        <v>1082.500313649648</v>
      </c>
      <c r="L12" s="44">
        <v>1345.592367690962</v>
      </c>
      <c r="M12" s="44">
        <v>1082.359847322416</v>
      </c>
      <c r="N12" s="210">
        <v>1192.4564991931259</v>
      </c>
      <c r="O12" s="44">
        <v>1671.8687345471549</v>
      </c>
      <c r="P12" s="44">
        <v>1512.1485831640643</v>
      </c>
      <c r="Q12" s="44">
        <v>1573.1744111147859</v>
      </c>
      <c r="R12" s="44">
        <v>1511.9671360445345</v>
      </c>
      <c r="S12" s="210">
        <v>1543.4107785683054</v>
      </c>
      <c r="U12" s="180" t="s">
        <v>327</v>
      </c>
      <c r="V12" s="180" t="s">
        <v>328</v>
      </c>
      <c r="W12" s="180" t="s">
        <v>329</v>
      </c>
      <c r="X12" s="180" t="s">
        <v>323</v>
      </c>
      <c r="Y12" s="180" t="s">
        <v>273</v>
      </c>
      <c r="Z12" s="180" t="s">
        <v>324</v>
      </c>
      <c r="AA12" s="180" t="s">
        <v>325</v>
      </c>
      <c r="AB12" s="180" t="s">
        <v>326</v>
      </c>
      <c r="AH12" s="302">
        <v>2</v>
      </c>
      <c r="AI12" s="302" t="s">
        <v>342</v>
      </c>
    </row>
    <row r="13" spans="1:38" ht="15" customHeight="1" x14ac:dyDescent="0.25">
      <c r="A13" s="44" t="s">
        <v>332</v>
      </c>
      <c r="B13" s="44" t="s">
        <v>333</v>
      </c>
      <c r="C13" s="44" t="s">
        <v>334</v>
      </c>
      <c r="D13" s="44">
        <v>45</v>
      </c>
      <c r="E13" s="44">
        <v>414.78667393718229</v>
      </c>
      <c r="F13" s="44">
        <v>373.05593394728646</v>
      </c>
      <c r="G13" s="44">
        <v>389.72959251925772</v>
      </c>
      <c r="H13" s="44">
        <v>369.40098552072146</v>
      </c>
      <c r="I13" s="210">
        <v>379.87223233350795</v>
      </c>
      <c r="J13" s="44">
        <v>1433.3171977732525</v>
      </c>
      <c r="K13" s="44">
        <v>1043.6261109862482</v>
      </c>
      <c r="L13" s="44">
        <v>1304.4337685133069</v>
      </c>
      <c r="M13" s="44">
        <v>1043.4938880770706</v>
      </c>
      <c r="N13" s="210">
        <v>1154.2477502040308</v>
      </c>
      <c r="O13" s="44">
        <v>1657.9224963699539</v>
      </c>
      <c r="P13" s="44">
        <v>1469.4681317546115</v>
      </c>
      <c r="Q13" s="44">
        <v>1541.5152833710117</v>
      </c>
      <c r="R13" s="44">
        <v>1469.297090516086</v>
      </c>
      <c r="S13" s="210">
        <v>1506.3863031188325</v>
      </c>
      <c r="U13" s="44" t="s">
        <v>332</v>
      </c>
      <c r="V13" s="44" t="s">
        <v>199</v>
      </c>
      <c r="W13" s="44" t="s">
        <v>334</v>
      </c>
      <c r="X13" s="1287" t="s">
        <v>341</v>
      </c>
      <c r="Y13" s="1288"/>
      <c r="Z13" s="1288"/>
      <c r="AA13" s="1288"/>
      <c r="AB13" s="1289"/>
      <c r="AH13" s="302">
        <v>3</v>
      </c>
      <c r="AI13" s="302" t="s">
        <v>343</v>
      </c>
    </row>
    <row r="14" spans="1:38" ht="15" customHeight="1" x14ac:dyDescent="0.25">
      <c r="A14" s="44" t="s">
        <v>332</v>
      </c>
      <c r="B14" s="44" t="s">
        <v>333</v>
      </c>
      <c r="C14" s="44" t="s">
        <v>334</v>
      </c>
      <c r="D14" s="44">
        <v>50</v>
      </c>
      <c r="E14" s="44">
        <v>404.53478222474115</v>
      </c>
      <c r="F14" s="44">
        <v>365.80071674342616</v>
      </c>
      <c r="G14" s="44">
        <v>379.957908062493</v>
      </c>
      <c r="H14" s="44">
        <v>361.93112330265751</v>
      </c>
      <c r="I14" s="210">
        <v>371.51603967928611</v>
      </c>
      <c r="J14" s="44">
        <v>1404.7047599758091</v>
      </c>
      <c r="K14" s="44">
        <v>1089.2613050957548</v>
      </c>
      <c r="L14" s="44">
        <v>1262.1664989504879</v>
      </c>
      <c r="M14" s="44">
        <v>1089.1286334025897</v>
      </c>
      <c r="N14" s="210">
        <v>1167.1142534291346</v>
      </c>
      <c r="O14" s="44">
        <v>1607.1144495536125</v>
      </c>
      <c r="P14" s="44">
        <v>1394.3320753494727</v>
      </c>
      <c r="Q14" s="44">
        <v>1475.7120293418939</v>
      </c>
      <c r="R14" s="44">
        <v>1394.1704092761595</v>
      </c>
      <c r="S14" s="210">
        <v>1436.0396366119105</v>
      </c>
      <c r="U14" s="44" t="s">
        <v>332</v>
      </c>
      <c r="V14" s="44" t="s">
        <v>333</v>
      </c>
      <c r="W14" s="182" t="s">
        <v>335</v>
      </c>
      <c r="X14" s="1290"/>
      <c r="Y14" s="1291"/>
      <c r="Z14" s="1291"/>
      <c r="AA14" s="1291"/>
      <c r="AB14" s="1292"/>
      <c r="AH14" s="302">
        <v>4</v>
      </c>
      <c r="AI14" s="302" t="s">
        <v>344</v>
      </c>
    </row>
    <row r="15" spans="1:38" ht="15" customHeight="1" x14ac:dyDescent="0.25">
      <c r="A15" s="44" t="s">
        <v>332</v>
      </c>
      <c r="B15" s="44" t="s">
        <v>333</v>
      </c>
      <c r="C15" s="44" t="s">
        <v>334</v>
      </c>
      <c r="D15" s="44">
        <v>55</v>
      </c>
      <c r="E15" s="44">
        <v>394.30991488002752</v>
      </c>
      <c r="F15" s="44">
        <v>362.51129423805321</v>
      </c>
      <c r="G15" s="44">
        <v>370.66774583983175</v>
      </c>
      <c r="H15" s="44">
        <v>358.2569585220154</v>
      </c>
      <c r="I15" s="210">
        <v>365.67343935650416</v>
      </c>
      <c r="J15" s="44">
        <v>1376.8607812801404</v>
      </c>
      <c r="K15" s="44">
        <v>1126.5985011163903</v>
      </c>
      <c r="L15" s="44">
        <v>1225.8837533963056</v>
      </c>
      <c r="M15" s="44">
        <v>1126.4680994896048</v>
      </c>
      <c r="N15" s="210">
        <v>1176.7701709158084</v>
      </c>
      <c r="O15" s="44">
        <v>1544.7340526568448</v>
      </c>
      <c r="P15" s="44">
        <v>1314.7969426263487</v>
      </c>
      <c r="Q15" s="44">
        <v>1402.7601208662297</v>
      </c>
      <c r="R15" s="44">
        <v>1314.6458127907724</v>
      </c>
      <c r="S15" s="210">
        <v>1359.8841090016492</v>
      </c>
      <c r="U15" s="182" t="s">
        <v>332</v>
      </c>
      <c r="V15" s="44" t="s">
        <v>333</v>
      </c>
      <c r="W15" s="44" t="s">
        <v>336</v>
      </c>
      <c r="X15" s="1290"/>
      <c r="Y15" s="1291"/>
      <c r="Z15" s="1291"/>
      <c r="AA15" s="1291"/>
      <c r="AB15" s="1292"/>
      <c r="AH15" s="302">
        <v>5</v>
      </c>
      <c r="AI15" s="302" t="s">
        <v>345</v>
      </c>
    </row>
    <row r="16" spans="1:38" ht="15" customHeight="1" x14ac:dyDescent="0.25">
      <c r="A16" s="44" t="s">
        <v>332</v>
      </c>
      <c r="B16" s="44" t="s">
        <v>333</v>
      </c>
      <c r="C16" s="44" t="s">
        <v>334</v>
      </c>
      <c r="D16" s="44">
        <v>60</v>
      </c>
      <c r="E16" s="44">
        <v>385.91281393346793</v>
      </c>
      <c r="F16" s="44">
        <v>359.77108173760763</v>
      </c>
      <c r="G16" s="44">
        <v>364.77323885659814</v>
      </c>
      <c r="H16" s="44">
        <v>358.10030948072546</v>
      </c>
      <c r="I16" s="210">
        <v>362.64733243254875</v>
      </c>
      <c r="J16" s="44">
        <v>1353.7568635507139</v>
      </c>
      <c r="K16" s="44">
        <v>1104.3494709871604</v>
      </c>
      <c r="L16" s="44">
        <v>1199.7995354621476</v>
      </c>
      <c r="M16" s="44">
        <v>1104.2234596860455</v>
      </c>
      <c r="N16" s="210">
        <v>1153.2827796274653</v>
      </c>
      <c r="O16" s="44">
        <v>1508.7697955136198</v>
      </c>
      <c r="P16" s="44">
        <v>1276.6289898604618</v>
      </c>
      <c r="Q16" s="44">
        <v>1365.4434791078017</v>
      </c>
      <c r="R16" s="44">
        <v>1276.4845086893822</v>
      </c>
      <c r="S16" s="210">
        <v>1322.1543353695763</v>
      </c>
      <c r="U16" s="182" t="s">
        <v>332</v>
      </c>
      <c r="V16" s="182" t="s">
        <v>337</v>
      </c>
      <c r="W16" s="182" t="s">
        <v>335</v>
      </c>
      <c r="X16" s="1290"/>
      <c r="Y16" s="1291"/>
      <c r="Z16" s="1291"/>
      <c r="AA16" s="1291"/>
      <c r="AB16" s="1292"/>
    </row>
    <row r="17" spans="1:38" ht="15" customHeight="1" x14ac:dyDescent="0.25">
      <c r="A17" s="44" t="s">
        <v>332</v>
      </c>
      <c r="B17" s="44" t="s">
        <v>333</v>
      </c>
      <c r="C17" s="44" t="s">
        <v>334</v>
      </c>
      <c r="D17" s="44">
        <v>65</v>
      </c>
      <c r="E17" s="44">
        <v>387.10879756380297</v>
      </c>
      <c r="F17" s="44">
        <v>361.88040323870695</v>
      </c>
      <c r="G17" s="44">
        <v>369.54112008360642</v>
      </c>
      <c r="H17" s="44">
        <v>361.84378828248441</v>
      </c>
      <c r="I17" s="210">
        <v>366.21008575019641</v>
      </c>
      <c r="J17" s="44">
        <v>1422.8859534023043</v>
      </c>
      <c r="K17" s="44">
        <v>1193.8200120398358</v>
      </c>
      <c r="L17" s="44">
        <v>1281.4690507664202</v>
      </c>
      <c r="M17" s="44">
        <v>1193.6889170109366</v>
      </c>
      <c r="N17" s="210">
        <v>1238.7506931993823</v>
      </c>
      <c r="O17" s="44">
        <v>1554.4839149175421</v>
      </c>
      <c r="P17" s="44">
        <v>1344.102377795105</v>
      </c>
      <c r="Q17" s="44">
        <v>1424.5769124908547</v>
      </c>
      <c r="R17" s="44">
        <v>1343.9549778212183</v>
      </c>
      <c r="S17" s="210">
        <v>1385.3486872804094</v>
      </c>
      <c r="U17" s="182" t="s">
        <v>332</v>
      </c>
      <c r="V17" s="182" t="s">
        <v>337</v>
      </c>
      <c r="W17" s="182" t="s">
        <v>338</v>
      </c>
      <c r="X17" s="1290"/>
      <c r="Y17" s="1291"/>
      <c r="Z17" s="1291"/>
      <c r="AA17" s="1291"/>
      <c r="AB17" s="1292"/>
    </row>
    <row r="18" spans="1:38" ht="15" customHeight="1" x14ac:dyDescent="0.25">
      <c r="A18" s="44" t="s">
        <v>332</v>
      </c>
      <c r="B18" s="44" t="s">
        <v>333</v>
      </c>
      <c r="C18" s="44" t="s">
        <v>334</v>
      </c>
      <c r="D18" s="44">
        <v>70</v>
      </c>
      <c r="E18" s="44">
        <v>395.42463889115817</v>
      </c>
      <c r="F18" s="44">
        <v>374.92014140016306</v>
      </c>
      <c r="G18" s="44">
        <v>382.45223462381841</v>
      </c>
      <c r="H18" s="44">
        <v>374.8832095288937</v>
      </c>
      <c r="I18" s="210">
        <v>378.83515656290882</v>
      </c>
      <c r="J18" s="44">
        <v>1488.3680704194896</v>
      </c>
      <c r="K18" s="44">
        <v>1279.5998146963648</v>
      </c>
      <c r="L18" s="44">
        <v>1359.4635669742615</v>
      </c>
      <c r="M18" s="44">
        <v>1279.4624464885353</v>
      </c>
      <c r="N18" s="210">
        <v>1320.535646580372</v>
      </c>
      <c r="O18" s="44">
        <v>1593.7911978032269</v>
      </c>
      <c r="P18" s="44">
        <v>1404.1418158569538</v>
      </c>
      <c r="Q18" s="44">
        <v>1476.6669447126319</v>
      </c>
      <c r="R18" s="44">
        <v>1403.9920882256931</v>
      </c>
      <c r="S18" s="210">
        <v>1441.3103215392268</v>
      </c>
      <c r="U18" s="182" t="s">
        <v>339</v>
      </c>
      <c r="V18" s="44" t="s">
        <v>199</v>
      </c>
      <c r="W18" s="44" t="s">
        <v>334</v>
      </c>
      <c r="X18" s="1290"/>
      <c r="Y18" s="1291"/>
      <c r="Z18" s="1291"/>
      <c r="AA18" s="1291"/>
      <c r="AB18" s="1292"/>
    </row>
    <row r="19" spans="1:38" ht="15" customHeight="1" x14ac:dyDescent="0.25">
      <c r="A19" s="44" t="s">
        <v>332</v>
      </c>
      <c r="B19" s="44" t="s">
        <v>333</v>
      </c>
      <c r="C19" s="44" t="s">
        <v>334</v>
      </c>
      <c r="D19" s="44">
        <v>75</v>
      </c>
      <c r="E19" s="44">
        <v>408.45832971886961</v>
      </c>
      <c r="F19" s="44">
        <v>395.97302087063798</v>
      </c>
      <c r="G19" s="44">
        <v>400.71883578036562</v>
      </c>
      <c r="H19" s="44">
        <v>395.93448842457155</v>
      </c>
      <c r="I19" s="210">
        <v>398.39864573487421</v>
      </c>
      <c r="J19" s="44">
        <v>1486.1158992376152</v>
      </c>
      <c r="K19" s="44">
        <v>1283.6946628125463</v>
      </c>
      <c r="L19" s="44">
        <v>1361.1323102844051</v>
      </c>
      <c r="M19" s="44">
        <v>1283.5588496554835</v>
      </c>
      <c r="N19" s="210">
        <v>1323.3853975128204</v>
      </c>
      <c r="O19" s="44">
        <v>1555.0621531936758</v>
      </c>
      <c r="P19" s="44">
        <v>1365.7941232208407</v>
      </c>
      <c r="Q19" s="44">
        <v>1438.1789668559134</v>
      </c>
      <c r="R19" s="44">
        <v>1365.6492328346526</v>
      </c>
      <c r="S19" s="210">
        <v>1402.8915691959262</v>
      </c>
      <c r="U19" s="182" t="s">
        <v>339</v>
      </c>
      <c r="V19" s="44" t="s">
        <v>333</v>
      </c>
      <c r="W19" s="182" t="s">
        <v>335</v>
      </c>
      <c r="X19" s="1290"/>
      <c r="Y19" s="1291"/>
      <c r="Z19" s="1291"/>
      <c r="AA19" s="1291"/>
      <c r="AB19" s="1292"/>
    </row>
    <row r="20" spans="1:38" ht="15" customHeight="1" x14ac:dyDescent="0.25">
      <c r="A20" s="44" t="s">
        <v>332</v>
      </c>
      <c r="B20" s="44" t="s">
        <v>333</v>
      </c>
      <c r="C20" s="44" t="s">
        <v>335</v>
      </c>
      <c r="D20" s="44">
        <v>2.5</v>
      </c>
      <c r="E20" s="44">
        <v>1.9324163453733783</v>
      </c>
      <c r="F20" s="44">
        <v>1.8265542014879312</v>
      </c>
      <c r="G20" s="44">
        <v>1.8649715211341344</v>
      </c>
      <c r="H20" s="44">
        <v>1.8241671968649791</v>
      </c>
      <c r="I20" s="210">
        <v>1.8456646316135792</v>
      </c>
      <c r="J20" s="44">
        <v>73.867009996295579</v>
      </c>
      <c r="K20" s="44">
        <v>62.50946533327609</v>
      </c>
      <c r="L20" s="44">
        <v>73.579996824990005</v>
      </c>
      <c r="M20" s="44">
        <v>62.527270286722263</v>
      </c>
      <c r="N20" s="210">
        <v>66.803523040424665</v>
      </c>
      <c r="O20" s="44">
        <v>48.510045531060925</v>
      </c>
      <c r="P20" s="44">
        <v>48.466932908439368</v>
      </c>
      <c r="Q20" s="44">
        <v>48.749109388597219</v>
      </c>
      <c r="R20" s="44">
        <v>48.480977709108146</v>
      </c>
      <c r="S20" s="210">
        <v>48.562746804822105</v>
      </c>
      <c r="U20" s="182" t="s">
        <v>339</v>
      </c>
      <c r="V20" s="44" t="s">
        <v>333</v>
      </c>
      <c r="W20" s="44" t="s">
        <v>336</v>
      </c>
      <c r="X20" s="1290"/>
      <c r="Y20" s="1291"/>
      <c r="Z20" s="1291"/>
      <c r="AA20" s="1291"/>
      <c r="AB20" s="1292"/>
    </row>
    <row r="21" spans="1:38" ht="15" customHeight="1" x14ac:dyDescent="0.25">
      <c r="A21" s="44" t="s">
        <v>332</v>
      </c>
      <c r="B21" s="44" t="s">
        <v>333</v>
      </c>
      <c r="C21" s="44" t="s">
        <v>335</v>
      </c>
      <c r="D21" s="44">
        <v>5</v>
      </c>
      <c r="E21" s="44">
        <v>1.266737434831257</v>
      </c>
      <c r="F21" s="44">
        <v>1.2653977066298441</v>
      </c>
      <c r="G21" s="44">
        <v>1.2702224089728751</v>
      </c>
      <c r="H21" s="44">
        <v>1.2639213336723083</v>
      </c>
      <c r="I21" s="210">
        <v>1.2663345905113417</v>
      </c>
      <c r="J21" s="44">
        <v>39.027304658153831</v>
      </c>
      <c r="K21" s="44">
        <v>31.557241828538928</v>
      </c>
      <c r="L21" s="44">
        <v>37.986144814142541</v>
      </c>
      <c r="M21" s="44">
        <v>31.566220583124149</v>
      </c>
      <c r="N21" s="210">
        <v>34.119760658475649</v>
      </c>
      <c r="O21" s="44">
        <v>25.138649596230199</v>
      </c>
      <c r="P21" s="44">
        <v>24.426122841768937</v>
      </c>
      <c r="Q21" s="44">
        <v>24.77159118518987</v>
      </c>
      <c r="R21" s="44">
        <v>24.433210358023924</v>
      </c>
      <c r="S21" s="210">
        <v>24.591418066125293</v>
      </c>
      <c r="U21" s="182" t="s">
        <v>339</v>
      </c>
      <c r="V21" s="182" t="s">
        <v>337</v>
      </c>
      <c r="W21" s="182" t="s">
        <v>335</v>
      </c>
      <c r="X21" s="1290"/>
      <c r="Y21" s="1291"/>
      <c r="Z21" s="1291"/>
      <c r="AA21" s="1291"/>
      <c r="AB21" s="1292"/>
    </row>
    <row r="22" spans="1:38" ht="15" customHeight="1" x14ac:dyDescent="0.25">
      <c r="A22" s="44" t="s">
        <v>332</v>
      </c>
      <c r="B22" s="44" t="s">
        <v>333</v>
      </c>
      <c r="C22" s="44" t="s">
        <v>335</v>
      </c>
      <c r="D22" s="44">
        <v>10</v>
      </c>
      <c r="E22" s="44">
        <v>0.90482302222298672</v>
      </c>
      <c r="F22" s="44">
        <v>0.97524690188652763</v>
      </c>
      <c r="G22" s="44">
        <v>0.93787049863389849</v>
      </c>
      <c r="H22" s="44">
        <v>0.97438616125086619</v>
      </c>
      <c r="I22" s="210">
        <v>0.95785189077538502</v>
      </c>
      <c r="J22" s="44">
        <v>22.884959482986343</v>
      </c>
      <c r="K22" s="44">
        <v>17.669238571542621</v>
      </c>
      <c r="L22" s="44">
        <v>22.74492522855444</v>
      </c>
      <c r="M22" s="44">
        <v>17.674268729108377</v>
      </c>
      <c r="N22" s="210">
        <v>19.637307653864703</v>
      </c>
      <c r="O22" s="44">
        <v>14.655738270125925</v>
      </c>
      <c r="P22" s="44">
        <v>14.757904725377418</v>
      </c>
      <c r="Q22" s="44">
        <v>14.728121396171305</v>
      </c>
      <c r="R22" s="44">
        <v>14.762204776961918</v>
      </c>
      <c r="S22" s="210">
        <v>14.742562183980093</v>
      </c>
      <c r="U22" s="182" t="s">
        <v>339</v>
      </c>
      <c r="V22" s="182" t="s">
        <v>337</v>
      </c>
      <c r="W22" s="182" t="s">
        <v>338</v>
      </c>
      <c r="X22" s="1293"/>
      <c r="Y22" s="1294"/>
      <c r="Z22" s="1294"/>
      <c r="AA22" s="1294"/>
      <c r="AB22" s="1295"/>
    </row>
    <row r="23" spans="1:38" ht="15" customHeight="1" x14ac:dyDescent="0.25">
      <c r="A23" s="44" t="s">
        <v>332</v>
      </c>
      <c r="B23" s="44" t="s">
        <v>333</v>
      </c>
      <c r="C23" s="44" t="s">
        <v>335</v>
      </c>
      <c r="D23" s="44">
        <v>15</v>
      </c>
      <c r="E23" s="44">
        <v>0.7518476758647552</v>
      </c>
      <c r="F23" s="44">
        <v>0.87002219494048327</v>
      </c>
      <c r="G23" s="44">
        <v>0.7682124275750104</v>
      </c>
      <c r="H23" s="44">
        <v>0.86950631790693766</v>
      </c>
      <c r="I23" s="210">
        <v>0.829288159008847</v>
      </c>
      <c r="J23" s="44">
        <v>18.234184495374411</v>
      </c>
      <c r="K23" s="44">
        <v>13.34121253624339</v>
      </c>
      <c r="L23" s="44">
        <v>18.339297424730518</v>
      </c>
      <c r="M23" s="44">
        <v>13.345006297040875</v>
      </c>
      <c r="N23" s="210">
        <v>15.259384928090165</v>
      </c>
      <c r="O23" s="44">
        <v>12.170196208784144</v>
      </c>
      <c r="P23" s="44">
        <v>12.472120232584674</v>
      </c>
      <c r="Q23" s="44">
        <v>12.359994063714648</v>
      </c>
      <c r="R23" s="44">
        <v>12.475735007529311</v>
      </c>
      <c r="S23" s="210">
        <v>12.41544065699653</v>
      </c>
    </row>
    <row r="24" spans="1:38" ht="15" customHeight="1" x14ac:dyDescent="0.25">
      <c r="A24" s="44" t="s">
        <v>332</v>
      </c>
      <c r="B24" s="44" t="s">
        <v>333</v>
      </c>
      <c r="C24" s="44" t="s">
        <v>335</v>
      </c>
      <c r="D24" s="44">
        <v>20</v>
      </c>
      <c r="E24" s="44">
        <v>0.66605019161004031</v>
      </c>
      <c r="F24" s="44">
        <v>0.80603469125813398</v>
      </c>
      <c r="G24" s="44">
        <v>0.65635715592649013</v>
      </c>
      <c r="H24" s="44">
        <v>0.805769269312411</v>
      </c>
      <c r="I24" s="210">
        <v>0.74904483585966053</v>
      </c>
      <c r="J24" s="44">
        <v>15.932329841077827</v>
      </c>
      <c r="K24" s="44">
        <v>12.251573419005799</v>
      </c>
      <c r="L24" s="44">
        <v>16.013118178766891</v>
      </c>
      <c r="M24" s="44">
        <v>12.255065522214496</v>
      </c>
      <c r="N24" s="210">
        <v>13.695329622890617</v>
      </c>
      <c r="O24" s="44">
        <v>10.796964695925915</v>
      </c>
      <c r="P24" s="44">
        <v>10.979325557935415</v>
      </c>
      <c r="Q24" s="44">
        <v>10.912618840010891</v>
      </c>
      <c r="R24" s="44">
        <v>10.982521101755339</v>
      </c>
      <c r="S24" s="210">
        <v>10.945844035618087</v>
      </c>
    </row>
    <row r="25" spans="1:38" ht="15" customHeight="1" x14ac:dyDescent="0.25">
      <c r="A25" s="44" t="s">
        <v>332</v>
      </c>
      <c r="B25" s="44" t="s">
        <v>333</v>
      </c>
      <c r="C25" s="44" t="s">
        <v>335</v>
      </c>
      <c r="D25" s="44">
        <v>25</v>
      </c>
      <c r="E25" s="44">
        <v>0.65756172447443906</v>
      </c>
      <c r="F25" s="44">
        <v>0.75410269420410603</v>
      </c>
      <c r="G25" s="44">
        <v>0.6383706106332423</v>
      </c>
      <c r="H25" s="44">
        <v>0.75399199284509255</v>
      </c>
      <c r="I25" s="210">
        <v>0.71100787228024831</v>
      </c>
      <c r="J25" s="44">
        <v>14.477928684040197</v>
      </c>
      <c r="K25" s="44">
        <v>11.526999408723402</v>
      </c>
      <c r="L25" s="44">
        <v>14.419916328220982</v>
      </c>
      <c r="M25" s="44">
        <v>11.530285478846627</v>
      </c>
      <c r="N25" s="210">
        <v>12.64716337568961</v>
      </c>
      <c r="O25" s="44">
        <v>9.9242543272448209</v>
      </c>
      <c r="P25" s="44">
        <v>9.9470569920140246</v>
      </c>
      <c r="Q25" s="44">
        <v>9.9412084916082968</v>
      </c>
      <c r="R25" s="44">
        <v>9.9499480119363568</v>
      </c>
      <c r="S25" s="210">
        <v>9.9447198443704625</v>
      </c>
      <c r="U25" s="302" t="s">
        <v>439</v>
      </c>
    </row>
    <row r="26" spans="1:38" ht="15" customHeight="1" x14ac:dyDescent="0.25">
      <c r="A26" s="44" t="s">
        <v>332</v>
      </c>
      <c r="B26" s="44" t="s">
        <v>333</v>
      </c>
      <c r="C26" s="44" t="s">
        <v>335</v>
      </c>
      <c r="D26" s="44">
        <v>30</v>
      </c>
      <c r="E26" s="44">
        <v>0.67097752673113964</v>
      </c>
      <c r="F26" s="44">
        <v>0.67786992419631498</v>
      </c>
      <c r="G26" s="44">
        <v>0.6374176157807836</v>
      </c>
      <c r="H26" s="44">
        <v>0.67787194463750744</v>
      </c>
      <c r="I26" s="210">
        <v>0.66495738128528037</v>
      </c>
      <c r="J26" s="44">
        <v>14.048867169150098</v>
      </c>
      <c r="K26" s="44">
        <v>11.248748786446045</v>
      </c>
      <c r="L26" s="44">
        <v>13.882253636038543</v>
      </c>
      <c r="M26" s="44">
        <v>11.251969445219444</v>
      </c>
      <c r="N26" s="210">
        <v>12.277605343502538</v>
      </c>
      <c r="O26" s="44">
        <v>9.6891446976307236</v>
      </c>
      <c r="P26" s="44">
        <v>9.5805925418595077</v>
      </c>
      <c r="Q26" s="44">
        <v>9.6250021493210962</v>
      </c>
      <c r="R26" s="44">
        <v>9.5833826704941867</v>
      </c>
      <c r="S26" s="210">
        <v>9.6040081372423973</v>
      </c>
      <c r="X26" s="302" t="s">
        <v>323</v>
      </c>
      <c r="AC26" s="302" t="s">
        <v>273</v>
      </c>
      <c r="AH26" s="302" t="s">
        <v>324</v>
      </c>
    </row>
    <row r="27" spans="1:38" ht="15" customHeight="1" x14ac:dyDescent="0.25">
      <c r="A27" s="205" t="s">
        <v>332</v>
      </c>
      <c r="B27" s="205" t="s">
        <v>333</v>
      </c>
      <c r="C27" s="205" t="s">
        <v>335</v>
      </c>
      <c r="D27" s="205">
        <v>35</v>
      </c>
      <c r="E27" s="205">
        <v>0.71434540303138827</v>
      </c>
      <c r="F27" s="205">
        <v>0.66495791850011232</v>
      </c>
      <c r="G27" s="205">
        <v>0.6624492173967671</v>
      </c>
      <c r="H27" s="205">
        <v>0.65364098928664227</v>
      </c>
      <c r="I27" s="213">
        <v>0.66317418612440482</v>
      </c>
      <c r="J27" s="205">
        <v>12.450516624354563</v>
      </c>
      <c r="K27" s="205">
        <v>9.9566422975821069</v>
      </c>
      <c r="L27" s="205">
        <v>11.943263688840194</v>
      </c>
      <c r="M27" s="205">
        <v>9.9594719136535197</v>
      </c>
      <c r="N27" s="213">
        <v>10.76325620776989</v>
      </c>
      <c r="O27" s="205">
        <v>8.7175234127977053</v>
      </c>
      <c r="P27" s="205">
        <v>8.2879431952333622</v>
      </c>
      <c r="Q27" s="205">
        <v>8.4550466978158116</v>
      </c>
      <c r="R27" s="205">
        <v>8.2903618536858819</v>
      </c>
      <c r="S27" s="213">
        <v>8.3742018555975672</v>
      </c>
      <c r="U27" s="302" t="s">
        <v>327</v>
      </c>
      <c r="V27" s="302" t="s">
        <v>328</v>
      </c>
      <c r="W27" s="302" t="s">
        <v>329</v>
      </c>
      <c r="X27" s="302">
        <v>2</v>
      </c>
      <c r="Y27" s="302">
        <v>3</v>
      </c>
      <c r="Z27" s="302">
        <v>4</v>
      </c>
      <c r="AA27" s="302">
        <v>5</v>
      </c>
      <c r="AB27" s="302" t="s">
        <v>331</v>
      </c>
      <c r="AC27" s="302">
        <v>2</v>
      </c>
      <c r="AD27" s="302">
        <v>3</v>
      </c>
      <c r="AE27" s="302">
        <v>4</v>
      </c>
      <c r="AF27" s="302">
        <v>5</v>
      </c>
      <c r="AG27" s="302" t="s">
        <v>331</v>
      </c>
      <c r="AH27" s="302">
        <v>2</v>
      </c>
      <c r="AI27" s="302">
        <v>3</v>
      </c>
      <c r="AJ27" s="302">
        <v>4</v>
      </c>
      <c r="AK27" s="302">
        <v>5</v>
      </c>
      <c r="AL27" s="302" t="s">
        <v>331</v>
      </c>
    </row>
    <row r="28" spans="1:38" x14ac:dyDescent="0.25">
      <c r="A28" s="44" t="s">
        <v>332</v>
      </c>
      <c r="B28" s="44" t="s">
        <v>333</v>
      </c>
      <c r="C28" s="44" t="s">
        <v>335</v>
      </c>
      <c r="D28" s="44">
        <v>40</v>
      </c>
      <c r="E28" s="44">
        <v>0.74335296677859941</v>
      </c>
      <c r="F28" s="44">
        <v>0.66545344735737111</v>
      </c>
      <c r="G28" s="44">
        <v>0.68106117723923165</v>
      </c>
      <c r="H28" s="44">
        <v>0.64259246061031805</v>
      </c>
      <c r="I28" s="210">
        <v>0.6664337013182694</v>
      </c>
      <c r="J28" s="44">
        <v>12.21573037419344</v>
      </c>
      <c r="K28" s="44">
        <v>9.5634397983710837</v>
      </c>
      <c r="L28" s="44">
        <v>11.499098573609571</v>
      </c>
      <c r="M28" s="44">
        <v>9.5661656190261635</v>
      </c>
      <c r="N28" s="210">
        <v>10.36701217268782</v>
      </c>
      <c r="O28" s="44">
        <v>8.5594922779657168</v>
      </c>
      <c r="P28" s="44">
        <v>7.9721327523723815</v>
      </c>
      <c r="Q28" s="44">
        <v>8.1996285916006464</v>
      </c>
      <c r="R28" s="44">
        <v>7.9744577282751452</v>
      </c>
      <c r="S28" s="210">
        <v>8.0893441278428995</v>
      </c>
      <c r="U28" s="302" t="s">
        <v>332</v>
      </c>
      <c r="V28" s="302" t="s">
        <v>199</v>
      </c>
      <c r="W28" s="302" t="s">
        <v>334</v>
      </c>
      <c r="X28" s="302">
        <v>2868.8305713413774</v>
      </c>
      <c r="Y28" s="302">
        <v>2757.0236917954808</v>
      </c>
      <c r="Z28" s="302">
        <v>2799.300076990894</v>
      </c>
      <c r="AA28" s="302">
        <v>2756.4533220154499</v>
      </c>
      <c r="AB28" s="302">
        <v>2778.5789083629115</v>
      </c>
      <c r="AC28" s="302">
        <v>9676.7903141390489</v>
      </c>
      <c r="AD28" s="302">
        <v>8006.6372564040339</v>
      </c>
      <c r="AE28" s="302">
        <v>9722.5901701015191</v>
      </c>
      <c r="AF28" s="302">
        <v>8005.1585649939307</v>
      </c>
      <c r="AG28" s="302">
        <v>8663.2028159721995</v>
      </c>
      <c r="AH28" s="302">
        <v>10479.228625300926</v>
      </c>
      <c r="AI28" s="302">
        <v>10578.791676006476</v>
      </c>
      <c r="AJ28" s="302">
        <v>10602.795294251035</v>
      </c>
      <c r="AK28" s="302">
        <v>10576.921604281542</v>
      </c>
      <c r="AL28" s="302">
        <v>10577.405078073836</v>
      </c>
    </row>
    <row r="29" spans="1:38" x14ac:dyDescent="0.25">
      <c r="A29" s="44" t="s">
        <v>332</v>
      </c>
      <c r="B29" s="44" t="s">
        <v>333</v>
      </c>
      <c r="C29" s="44" t="s">
        <v>335</v>
      </c>
      <c r="D29" s="44">
        <v>45</v>
      </c>
      <c r="E29" s="44">
        <v>0.75909469239363181</v>
      </c>
      <c r="F29" s="44">
        <v>0.66592437520507608</v>
      </c>
      <c r="G29" s="44">
        <v>0.69286534032565594</v>
      </c>
      <c r="H29" s="44">
        <v>0.63948906974548203</v>
      </c>
      <c r="I29" s="210">
        <v>0.67002193715402347</v>
      </c>
      <c r="J29" s="44">
        <v>12.007908080339813</v>
      </c>
      <c r="K29" s="44">
        <v>9.2587219526003004</v>
      </c>
      <c r="L29" s="44">
        <v>11.138000364557508</v>
      </c>
      <c r="M29" s="44">
        <v>9.2613616033998376</v>
      </c>
      <c r="N29" s="210">
        <v>10.052717943527258</v>
      </c>
      <c r="O29" s="44">
        <v>8.420517532230086</v>
      </c>
      <c r="P29" s="44">
        <v>7.723519326479467</v>
      </c>
      <c r="Q29" s="44">
        <v>7.9929849910157387</v>
      </c>
      <c r="R29" s="44">
        <v>7.7257765357798114</v>
      </c>
      <c r="S29" s="210">
        <v>7.8622393538404047</v>
      </c>
      <c r="U29" s="302" t="s">
        <v>332</v>
      </c>
      <c r="V29" s="302" t="s">
        <v>333</v>
      </c>
      <c r="W29" s="302" t="s">
        <v>335</v>
      </c>
      <c r="X29" s="302">
        <v>2.4155204317167227</v>
      </c>
      <c r="Y29" s="302">
        <v>2.283192751859914</v>
      </c>
      <c r="Z29" s="302">
        <v>2.3312144014176681</v>
      </c>
      <c r="AA29" s="302">
        <v>2.2802089960812237</v>
      </c>
      <c r="AB29" s="302">
        <v>2.307080789516974</v>
      </c>
      <c r="AC29" s="302">
        <v>92.33376249536947</v>
      </c>
      <c r="AD29" s="302">
        <v>78.136831666595114</v>
      </c>
      <c r="AE29" s="302">
        <v>91.974996031237509</v>
      </c>
      <c r="AF29" s="302">
        <v>78.159087858402827</v>
      </c>
      <c r="AG29" s="302">
        <v>83.504403800530838</v>
      </c>
      <c r="AH29" s="302">
        <v>60.63755691382616</v>
      </c>
      <c r="AI29" s="302">
        <v>60.583666135549208</v>
      </c>
      <c r="AJ29" s="302">
        <v>60.936386735746524</v>
      </c>
      <c r="AK29" s="302">
        <v>60.601222136385182</v>
      </c>
      <c r="AL29" s="302">
        <v>60.703433506027629</v>
      </c>
    </row>
    <row r="30" spans="1:38" x14ac:dyDescent="0.25">
      <c r="A30" s="44" t="s">
        <v>332</v>
      </c>
      <c r="B30" s="44" t="s">
        <v>333</v>
      </c>
      <c r="C30" s="44" t="s">
        <v>335</v>
      </c>
      <c r="D30" s="44">
        <v>50</v>
      </c>
      <c r="E30" s="44">
        <v>0.75677524260473894</v>
      </c>
      <c r="F30" s="44">
        <v>0.66774209030011056</v>
      </c>
      <c r="G30" s="44">
        <v>0.69210681238986405</v>
      </c>
      <c r="H30" s="44">
        <v>0.64704313452486961</v>
      </c>
      <c r="I30" s="210">
        <v>0.6732272890604305</v>
      </c>
      <c r="J30" s="44">
        <v>11.750000776122913</v>
      </c>
      <c r="K30" s="44">
        <v>9.5258939054257645</v>
      </c>
      <c r="L30" s="44">
        <v>10.765698951345151</v>
      </c>
      <c r="M30" s="44">
        <v>9.5286163615910606</v>
      </c>
      <c r="N30" s="210">
        <v>10.082737614416558</v>
      </c>
      <c r="O30" s="44">
        <v>8.1979395123471637</v>
      </c>
      <c r="P30" s="44">
        <v>7.4060529155462733</v>
      </c>
      <c r="Q30" s="44">
        <v>7.7117962952265939</v>
      </c>
      <c r="R30" s="44">
        <v>7.4082175559438621</v>
      </c>
      <c r="S30" s="210">
        <v>7.5633591779289455</v>
      </c>
      <c r="U30" s="302" t="s">
        <v>332</v>
      </c>
      <c r="V30" s="302" t="s">
        <v>333</v>
      </c>
      <c r="W30" s="302" t="s">
        <v>336</v>
      </c>
      <c r="X30" s="302">
        <v>0.16383624806752844</v>
      </c>
      <c r="Y30" s="302">
        <v>0.16788887818099771</v>
      </c>
      <c r="Z30" s="302">
        <v>0.16847528046704721</v>
      </c>
      <c r="AA30" s="302">
        <v>0.16556755196012948</v>
      </c>
      <c r="AB30" s="302">
        <v>0.16673303857404587</v>
      </c>
      <c r="AC30" s="302">
        <v>5.2136003830473578</v>
      </c>
      <c r="AD30" s="302">
        <v>4.6194930890103532</v>
      </c>
      <c r="AE30" s="302">
        <v>5.313119890005038</v>
      </c>
      <c r="AF30" s="302">
        <v>4.6114804280980639</v>
      </c>
      <c r="AG30" s="302">
        <v>4.8752210631812014</v>
      </c>
      <c r="AH30" s="302">
        <v>3.5022951432414411</v>
      </c>
      <c r="AI30" s="302">
        <v>3.6188707256733368</v>
      </c>
      <c r="AJ30" s="302">
        <v>3.6022509542980403</v>
      </c>
      <c r="AK30" s="302">
        <v>3.6114575522374288</v>
      </c>
      <c r="AL30" s="302">
        <v>3.6012951418289996</v>
      </c>
    </row>
    <row r="31" spans="1:38" x14ac:dyDescent="0.25">
      <c r="A31" s="44" t="s">
        <v>332</v>
      </c>
      <c r="B31" s="44" t="s">
        <v>333</v>
      </c>
      <c r="C31" s="44" t="s">
        <v>335</v>
      </c>
      <c r="D31" s="44">
        <v>55</v>
      </c>
      <c r="E31" s="44">
        <v>0.74992806953086688</v>
      </c>
      <c r="F31" s="44">
        <v>0.67443266116000888</v>
      </c>
      <c r="G31" s="44">
        <v>0.68841233470689978</v>
      </c>
      <c r="H31" s="44">
        <v>0.658289661368755</v>
      </c>
      <c r="I31" s="210">
        <v>0.6776565345449409</v>
      </c>
      <c r="J31" s="44">
        <v>11.507454242831102</v>
      </c>
      <c r="K31" s="44">
        <v>9.744492843334152</v>
      </c>
      <c r="L31" s="44">
        <v>10.449013351481645</v>
      </c>
      <c r="M31" s="44">
        <v>9.7472874747471803</v>
      </c>
      <c r="N31" s="210">
        <v>10.101107755974743</v>
      </c>
      <c r="O31" s="44">
        <v>7.9623318935856551</v>
      </c>
      <c r="P31" s="44">
        <v>7.1008757476092272</v>
      </c>
      <c r="Q31" s="44">
        <v>7.4332026415228265</v>
      </c>
      <c r="R31" s="44">
        <v>7.1029567576978945</v>
      </c>
      <c r="S31" s="210">
        <v>7.2717976496311971</v>
      </c>
      <c r="U31" s="302" t="s">
        <v>332</v>
      </c>
      <c r="V31" s="302" t="s">
        <v>337</v>
      </c>
      <c r="W31" s="302" t="s">
        <v>335</v>
      </c>
      <c r="X31" s="302">
        <v>3.7085640916590745</v>
      </c>
      <c r="Y31" s="302">
        <v>3.7379911691721772</v>
      </c>
      <c r="Z31" s="302">
        <v>3.7744902152830342</v>
      </c>
      <c r="AA31" s="302">
        <v>3.7722669512459035</v>
      </c>
      <c r="AB31" s="302">
        <v>3.762730423538728</v>
      </c>
      <c r="AC31" s="302">
        <v>80.206623549939593</v>
      </c>
      <c r="AD31" s="302">
        <v>68.342302501533922</v>
      </c>
      <c r="AE31" s="302">
        <v>80.531496086260631</v>
      </c>
      <c r="AF31" s="302">
        <v>68.325844339503192</v>
      </c>
      <c r="AG31" s="302">
        <v>72.967329308677392</v>
      </c>
      <c r="AH31" s="302">
        <v>53.247172674248915</v>
      </c>
      <c r="AI31" s="302">
        <v>52.806786055798682</v>
      </c>
      <c r="AJ31" s="302">
        <v>53.004229044236901</v>
      </c>
      <c r="AK31" s="302">
        <v>52.793850520795182</v>
      </c>
      <c r="AL31" s="302">
        <v>52.892093597203804</v>
      </c>
    </row>
    <row r="32" spans="1:38" x14ac:dyDescent="0.25">
      <c r="A32" s="44" t="s">
        <v>332</v>
      </c>
      <c r="B32" s="44" t="s">
        <v>333</v>
      </c>
      <c r="C32" s="44" t="s">
        <v>335</v>
      </c>
      <c r="D32" s="44">
        <v>60</v>
      </c>
      <c r="E32" s="44">
        <v>0.74520058707728976</v>
      </c>
      <c r="F32" s="44">
        <v>0.67960196697063835</v>
      </c>
      <c r="G32" s="44">
        <v>0.69016058085490284</v>
      </c>
      <c r="H32" s="44">
        <v>0.67333880113240629</v>
      </c>
      <c r="I32" s="210">
        <v>0.68530628609619137</v>
      </c>
      <c r="J32" s="44">
        <v>11.397226185058196</v>
      </c>
      <c r="K32" s="44">
        <v>9.6416621986230275</v>
      </c>
      <c r="L32" s="44">
        <v>10.317414024038467</v>
      </c>
      <c r="M32" s="44">
        <v>9.6444186559758336</v>
      </c>
      <c r="N32" s="210">
        <v>9.9888786068063293</v>
      </c>
      <c r="O32" s="44">
        <v>7.8055005540515721</v>
      </c>
      <c r="P32" s="44">
        <v>6.9275834650781665</v>
      </c>
      <c r="Q32" s="44">
        <v>7.2661631057948624</v>
      </c>
      <c r="R32" s="44">
        <v>6.9296057559623572</v>
      </c>
      <c r="S32" s="210">
        <v>7.1016986249148975</v>
      </c>
      <c r="U32" s="302" t="s">
        <v>332</v>
      </c>
      <c r="V32" s="302" t="s">
        <v>337</v>
      </c>
      <c r="W32" s="302" t="s">
        <v>338</v>
      </c>
      <c r="X32" s="302">
        <v>2.6803428530013167</v>
      </c>
      <c r="Y32" s="302">
        <v>2.6820386112643462</v>
      </c>
      <c r="Z32" s="302">
        <v>2.7017900846599856</v>
      </c>
      <c r="AA32" s="302">
        <v>2.6845004058103745</v>
      </c>
      <c r="AB32" s="302">
        <v>2.6892807247280102</v>
      </c>
      <c r="AC32" s="302">
        <v>9.9561263181032515</v>
      </c>
      <c r="AD32" s="302">
        <v>8.5536468015397116</v>
      </c>
      <c r="AE32" s="302">
        <v>9.8579336492502101</v>
      </c>
      <c r="AF32" s="302">
        <v>8.5544020286505926</v>
      </c>
      <c r="AG32" s="302">
        <v>9.0581894699240824</v>
      </c>
      <c r="AH32" s="302">
        <v>7.8540848817121844</v>
      </c>
      <c r="AI32" s="302">
        <v>7.8045369709462733</v>
      </c>
      <c r="AJ32" s="302">
        <v>7.7636308207213167</v>
      </c>
      <c r="AK32" s="302">
        <v>7.8059954635852726</v>
      </c>
      <c r="AL32" s="302">
        <v>7.7953743165291094</v>
      </c>
    </row>
    <row r="33" spans="1:38" x14ac:dyDescent="0.25">
      <c r="A33" s="44" t="s">
        <v>332</v>
      </c>
      <c r="B33" s="44" t="s">
        <v>333</v>
      </c>
      <c r="C33" s="44" t="s">
        <v>335</v>
      </c>
      <c r="D33" s="44">
        <v>65</v>
      </c>
      <c r="E33" s="44">
        <v>0.76097177893336609</v>
      </c>
      <c r="F33" s="44">
        <v>0.69568570571743593</v>
      </c>
      <c r="G33" s="44">
        <v>0.71534738782252283</v>
      </c>
      <c r="H33" s="44">
        <v>0.69579488232832409</v>
      </c>
      <c r="I33" s="210">
        <v>0.70692932859291002</v>
      </c>
      <c r="J33" s="44">
        <v>12.195738705036002</v>
      </c>
      <c r="K33" s="44">
        <v>10.636459817315631</v>
      </c>
      <c r="L33" s="44">
        <v>11.237250836164527</v>
      </c>
      <c r="M33" s="44">
        <v>10.639500837297534</v>
      </c>
      <c r="N33" s="210">
        <v>10.945294852490536</v>
      </c>
      <c r="O33" s="44">
        <v>8.0333691083984462</v>
      </c>
      <c r="P33" s="44">
        <v>7.2501919835162836</v>
      </c>
      <c r="Q33" s="44">
        <v>7.5525524575640741</v>
      </c>
      <c r="R33" s="44">
        <v>7.2523093668843783</v>
      </c>
      <c r="S33" s="210">
        <v>7.4057516957435077</v>
      </c>
    </row>
    <row r="34" spans="1:38" x14ac:dyDescent="0.25">
      <c r="A34" s="44" t="s">
        <v>332</v>
      </c>
      <c r="B34" s="44" t="s">
        <v>333</v>
      </c>
      <c r="C34" s="44" t="s">
        <v>335</v>
      </c>
      <c r="D34" s="44">
        <v>70</v>
      </c>
      <c r="E34" s="44">
        <v>0.79324552303315721</v>
      </c>
      <c r="F34" s="44">
        <v>0.74001973681089595</v>
      </c>
      <c r="G34" s="44">
        <v>0.75938150442928543</v>
      </c>
      <c r="H34" s="44">
        <v>0.74013370934808498</v>
      </c>
      <c r="I34" s="210">
        <v>0.75021584674610453</v>
      </c>
      <c r="J34" s="44">
        <v>12.958702793963662</v>
      </c>
      <c r="K34" s="44">
        <v>11.578342424586461</v>
      </c>
      <c r="L34" s="44">
        <v>12.110813284856675</v>
      </c>
      <c r="M34" s="44">
        <v>11.581656780693061</v>
      </c>
      <c r="N34" s="210">
        <v>11.85220064600032</v>
      </c>
      <c r="O34" s="44">
        <v>8.2321232131054227</v>
      </c>
      <c r="P34" s="44">
        <v>7.5380782976667762</v>
      </c>
      <c r="Q34" s="44">
        <v>7.8063489603951464</v>
      </c>
      <c r="R34" s="44">
        <v>7.5402762919692492</v>
      </c>
      <c r="S34" s="210">
        <v>7.6761726002295356</v>
      </c>
      <c r="X34" s="335">
        <f>(X4-X28)/X4</f>
        <v>0.23539709810316492</v>
      </c>
      <c r="Y34" s="335">
        <f t="shared" ref="Y34:AL34" si="0">(Y4-Y28)/Y4</f>
        <v>0.26412819987384778</v>
      </c>
      <c r="Z34" s="335">
        <f t="shared" si="0"/>
        <v>0.25440983190514666</v>
      </c>
      <c r="AA34" s="335">
        <f t="shared" si="0"/>
        <v>0.26497624594262376</v>
      </c>
      <c r="AB34" s="335">
        <f t="shared" si="0"/>
        <v>0.25922347039435517</v>
      </c>
      <c r="AC34" s="335">
        <f t="shared" si="0"/>
        <v>-0.23074360681638539</v>
      </c>
      <c r="AD34" s="335">
        <f t="shared" si="0"/>
        <v>-1.831995971218096E-2</v>
      </c>
      <c r="AE34" s="335">
        <f t="shared" si="0"/>
        <v>-0.23649941113658082</v>
      </c>
      <c r="AF34" s="335">
        <f t="shared" si="0"/>
        <v>-1.8092344397415906E-2</v>
      </c>
      <c r="AG34" s="335">
        <f t="shared" si="0"/>
        <v>-0.10178708658223487</v>
      </c>
      <c r="AH34" s="335">
        <f t="shared" si="0"/>
        <v>-0.35682562405041501</v>
      </c>
      <c r="AI34" s="335">
        <f t="shared" si="0"/>
        <v>-0.36998212488724541</v>
      </c>
      <c r="AJ34" s="335">
        <f t="shared" si="0"/>
        <v>-0.37281272345935879</v>
      </c>
      <c r="AK34" s="335">
        <f t="shared" si="0"/>
        <v>-0.36975592352146675</v>
      </c>
      <c r="AL34" s="335">
        <f t="shared" si="0"/>
        <v>-0.36971305830218026</v>
      </c>
    </row>
    <row r="35" spans="1:38" x14ac:dyDescent="0.25">
      <c r="A35" s="44" t="s">
        <v>332</v>
      </c>
      <c r="B35" s="44" t="s">
        <v>333</v>
      </c>
      <c r="C35" s="44" t="s">
        <v>335</v>
      </c>
      <c r="D35" s="44">
        <v>75</v>
      </c>
      <c r="E35" s="44">
        <v>0.83466714394217967</v>
      </c>
      <c r="F35" s="44">
        <v>0.80088139175218065</v>
      </c>
      <c r="G35" s="44">
        <v>0.81393332826095555</v>
      </c>
      <c r="H35" s="44">
        <v>0.80100270638458326</v>
      </c>
      <c r="I35" s="210">
        <v>0.80760775747616298</v>
      </c>
      <c r="J35" s="44">
        <v>13.029006806200695</v>
      </c>
      <c r="K35" s="44">
        <v>11.695845564160823</v>
      </c>
      <c r="L35" s="44">
        <v>12.210274472677176</v>
      </c>
      <c r="M35" s="44">
        <v>11.699185464775658</v>
      </c>
      <c r="N35" s="210">
        <v>11.960450694785727</v>
      </c>
      <c r="O35" s="44">
        <v>8.0261106296123899</v>
      </c>
      <c r="P35" s="44">
        <v>7.3214613906027042</v>
      </c>
      <c r="Q35" s="44">
        <v>7.5937339726088453</v>
      </c>
      <c r="R35" s="44">
        <v>7.3235988171682997</v>
      </c>
      <c r="S35" s="210">
        <v>7.4615949050167325</v>
      </c>
      <c r="X35" s="335">
        <f t="shared" ref="X35:AL38" si="1">(X5-X29)/X5</f>
        <v>0.18225194460834548</v>
      </c>
      <c r="Y35" s="335">
        <f t="shared" si="1"/>
        <v>0.22765788652975383</v>
      </c>
      <c r="Z35" s="335">
        <f t="shared" si="1"/>
        <v>0.20934094475136469</v>
      </c>
      <c r="AA35" s="335">
        <f t="shared" si="1"/>
        <v>0.22791287118940678</v>
      </c>
      <c r="AB35" s="335">
        <f t="shared" si="1"/>
        <v>0.21853148406317513</v>
      </c>
      <c r="AC35" s="335">
        <f t="shared" si="1"/>
        <v>-1.1841510277940061E-2</v>
      </c>
      <c r="AD35" s="335">
        <f t="shared" si="1"/>
        <v>0.14359098048127372</v>
      </c>
      <c r="AE35" s="335">
        <f t="shared" si="1"/>
        <v>-7.9426714866316691E-3</v>
      </c>
      <c r="AF35" s="335">
        <f t="shared" si="1"/>
        <v>0.14362409833247605</v>
      </c>
      <c r="AG35" s="335">
        <f t="shared" si="1"/>
        <v>8.493273857874635E-2</v>
      </c>
      <c r="AH35" s="335">
        <f t="shared" si="1"/>
        <v>0.14842013875241047</v>
      </c>
      <c r="AI35" s="335">
        <f t="shared" si="1"/>
        <v>0.15094492664542414</v>
      </c>
      <c r="AJ35" s="335">
        <f t="shared" si="1"/>
        <v>0.14332007751070372</v>
      </c>
      <c r="AK35" s="335">
        <f t="shared" si="1"/>
        <v>0.15039916312005433</v>
      </c>
      <c r="AL35" s="335">
        <f t="shared" si="1"/>
        <v>0.14822513144469596</v>
      </c>
    </row>
    <row r="36" spans="1:38" x14ac:dyDescent="0.25">
      <c r="A36" s="44" t="s">
        <v>332</v>
      </c>
      <c r="B36" s="44" t="s">
        <v>333</v>
      </c>
      <c r="C36" s="44" t="s">
        <v>336</v>
      </c>
      <c r="D36" s="44">
        <v>2.5</v>
      </c>
      <c r="E36" s="44">
        <v>0.13106899845402276</v>
      </c>
      <c r="F36" s="44">
        <v>0.13431110254479817</v>
      </c>
      <c r="G36" s="44">
        <v>0.13478022437363776</v>
      </c>
      <c r="H36" s="44">
        <v>0.13245404156810359</v>
      </c>
      <c r="I36" s="210">
        <v>0.13338643085923668</v>
      </c>
      <c r="J36" s="44">
        <v>4.1708803064378861</v>
      </c>
      <c r="K36" s="44">
        <v>3.6955944712082829</v>
      </c>
      <c r="L36" s="44">
        <v>4.2504959120040304</v>
      </c>
      <c r="M36" s="44">
        <v>3.6891843424784514</v>
      </c>
      <c r="N36" s="210">
        <v>3.9001768505449612</v>
      </c>
      <c r="O36" s="44">
        <v>2.801836114593153</v>
      </c>
      <c r="P36" s="44">
        <v>2.8950965805386693</v>
      </c>
      <c r="Q36" s="44">
        <v>2.8818007634384322</v>
      </c>
      <c r="R36" s="44">
        <v>2.889166041789943</v>
      </c>
      <c r="S36" s="210">
        <v>2.8810361134631997</v>
      </c>
      <c r="X36" s="335">
        <f t="shared" si="1"/>
        <v>0.17470029735819212</v>
      </c>
      <c r="Y36" s="335">
        <f t="shared" si="1"/>
        <v>0.15278997343717149</v>
      </c>
      <c r="Z36" s="335">
        <f t="shared" si="1"/>
        <v>0.1519533646874944</v>
      </c>
      <c r="AA36" s="335">
        <f t="shared" si="1"/>
        <v>0.16497235791809023</v>
      </c>
      <c r="AB36" s="335">
        <f t="shared" si="1"/>
        <v>0.15957800032852076</v>
      </c>
      <c r="AC36" s="335">
        <f t="shared" si="1"/>
        <v>2.0112494814191979E-2</v>
      </c>
      <c r="AD36" s="335">
        <f t="shared" si="1"/>
        <v>0.13178618210096021</v>
      </c>
      <c r="AE36" s="335">
        <f t="shared" si="1"/>
        <v>1.4133922850454016E-3</v>
      </c>
      <c r="AF36" s="335">
        <f t="shared" si="1"/>
        <v>0.13328347510860239</v>
      </c>
      <c r="AG36" s="335">
        <f t="shared" si="1"/>
        <v>8.3716301207468938E-2</v>
      </c>
      <c r="AH36" s="335">
        <f t="shared" si="1"/>
        <v>0.12613382712338761</v>
      </c>
      <c r="AI36" s="335">
        <f t="shared" si="1"/>
        <v>9.6812480568261985E-2</v>
      </c>
      <c r="AJ36" s="335">
        <f t="shared" si="1"/>
        <v>0.10152971612614398</v>
      </c>
      <c r="AK36" s="335">
        <f t="shared" si="1"/>
        <v>9.9726869281114114E-2</v>
      </c>
      <c r="AL36" s="335">
        <f t="shared" si="1"/>
        <v>0.10184271937572816</v>
      </c>
    </row>
    <row r="37" spans="1:38" x14ac:dyDescent="0.25">
      <c r="A37" s="44" t="s">
        <v>332</v>
      </c>
      <c r="B37" s="44" t="s">
        <v>333</v>
      </c>
      <c r="C37" s="44" t="s">
        <v>336</v>
      </c>
      <c r="D37" s="44">
        <v>5</v>
      </c>
      <c r="E37" s="44">
        <v>7.327571590329493E-2</v>
      </c>
      <c r="F37" s="44">
        <v>7.5080555874515786E-2</v>
      </c>
      <c r="G37" s="44">
        <v>7.4898526187194309E-2</v>
      </c>
      <c r="H37" s="44">
        <v>7.4191569655264369E-2</v>
      </c>
      <c r="I37" s="210">
        <v>7.4493533442593643E-2</v>
      </c>
      <c r="J37" s="44">
        <v>2.1970122690530873</v>
      </c>
      <c r="K37" s="44">
        <v>1.8683565012795695</v>
      </c>
      <c r="L37" s="44">
        <v>2.19459700730844</v>
      </c>
      <c r="M37" s="44">
        <v>1.8651512636625682</v>
      </c>
      <c r="N37" s="210">
        <v>1.9927912503990042</v>
      </c>
      <c r="O37" s="44">
        <v>1.4429153767268093</v>
      </c>
      <c r="P37" s="44">
        <v>1.4576258336276156</v>
      </c>
      <c r="Q37" s="44">
        <v>1.4592056888818978</v>
      </c>
      <c r="R37" s="44">
        <v>1.4546615791746103</v>
      </c>
      <c r="S37" s="210">
        <v>1.455646531995793</v>
      </c>
      <c r="X37" s="335">
        <f t="shared" si="1"/>
        <v>0.35297971934541456</v>
      </c>
      <c r="Y37" s="335">
        <f t="shared" si="1"/>
        <v>0.34379119400080554</v>
      </c>
      <c r="Z37" s="335">
        <f t="shared" si="1"/>
        <v>0.34971742016973362</v>
      </c>
      <c r="AA37" s="335">
        <f t="shared" si="1"/>
        <v>0.34403250746675729</v>
      </c>
      <c r="AB37" s="335">
        <f t="shared" si="1"/>
        <v>0.34623807734139939</v>
      </c>
      <c r="AC37" s="335">
        <f t="shared" si="1"/>
        <v>-1.4268678117702223E-3</v>
      </c>
      <c r="AD37" s="335">
        <f t="shared" si="1"/>
        <v>0.14642429133792004</v>
      </c>
      <c r="AE37" s="335">
        <f t="shared" si="1"/>
        <v>-6.8265879475781664E-3</v>
      </c>
      <c r="AF37" s="335">
        <f t="shared" si="1"/>
        <v>0.14551872400759414</v>
      </c>
      <c r="AG37" s="335">
        <f t="shared" si="1"/>
        <v>8.7878707818523805E-2</v>
      </c>
      <c r="AH37" s="335">
        <f t="shared" si="1"/>
        <v>0.14647120515638759</v>
      </c>
      <c r="AI37" s="335">
        <f t="shared" si="1"/>
        <v>0.15359758175087007</v>
      </c>
      <c r="AJ37" s="335">
        <f t="shared" si="1"/>
        <v>0.15109410098323198</v>
      </c>
      <c r="AK37" s="335">
        <f t="shared" si="1"/>
        <v>0.15373065299907987</v>
      </c>
      <c r="AL37" s="335">
        <f t="shared" si="1"/>
        <v>0.15239284809685325</v>
      </c>
    </row>
    <row r="38" spans="1:38" x14ac:dyDescent="0.25">
      <c r="A38" s="44" t="s">
        <v>332</v>
      </c>
      <c r="B38" s="44" t="s">
        <v>333</v>
      </c>
      <c r="C38" s="44" t="s">
        <v>336</v>
      </c>
      <c r="D38" s="44">
        <v>10</v>
      </c>
      <c r="E38" s="44">
        <v>4.3491240342718791E-2</v>
      </c>
      <c r="F38" s="44">
        <v>4.5465203133678141E-2</v>
      </c>
      <c r="G38" s="44">
        <v>4.4380983454013756E-2</v>
      </c>
      <c r="H38" s="44">
        <v>4.5060398618975178E-2</v>
      </c>
      <c r="I38" s="210">
        <v>4.4800289253414192E-2</v>
      </c>
      <c r="J38" s="44">
        <v>1.3356041497304409</v>
      </c>
      <c r="K38" s="44">
        <v>1.0626734961283135</v>
      </c>
      <c r="L38" s="44">
        <v>1.3543492812499049</v>
      </c>
      <c r="M38" s="44">
        <v>1.0610705133890785</v>
      </c>
      <c r="N38" s="210">
        <v>1.1728152626236652</v>
      </c>
      <c r="O38" s="44">
        <v>0.84071627115527137</v>
      </c>
      <c r="P38" s="44">
        <v>0.8664313375780448</v>
      </c>
      <c r="Q38" s="44">
        <v>0.85803692803184839</v>
      </c>
      <c r="R38" s="44">
        <v>0.8649497260868102</v>
      </c>
      <c r="S38" s="210">
        <v>0.86117604296732952</v>
      </c>
      <c r="X38" s="335">
        <f t="shared" si="1"/>
        <v>2.7883853209473498E-2</v>
      </c>
      <c r="Y38" s="335">
        <f t="shared" si="1"/>
        <v>2.9257200334001768E-2</v>
      </c>
      <c r="Z38" s="335">
        <f t="shared" si="1"/>
        <v>1.5930190807280302E-2</v>
      </c>
      <c r="AA38" s="335">
        <f t="shared" si="1"/>
        <v>2.6055340384302454E-2</v>
      </c>
      <c r="AB38" s="335">
        <f t="shared" si="1"/>
        <v>2.3610217487572745E-2</v>
      </c>
      <c r="AC38" s="335">
        <f t="shared" si="1"/>
        <v>0.21784429010348286</v>
      </c>
      <c r="AD38" s="335">
        <f t="shared" si="1"/>
        <v>0.32794395650176544</v>
      </c>
      <c r="AE38" s="335">
        <f t="shared" si="1"/>
        <v>0.22560783324290087</v>
      </c>
      <c r="AF38" s="335">
        <f t="shared" si="1"/>
        <v>0.32795422930638068</v>
      </c>
      <c r="AG38" s="335">
        <f t="shared" si="1"/>
        <v>0.28838042533057479</v>
      </c>
      <c r="AH38" s="335">
        <f t="shared" si="1"/>
        <v>0.3492557187757957</v>
      </c>
      <c r="AI38" s="335">
        <f t="shared" si="1"/>
        <v>0.35338789493728007</v>
      </c>
      <c r="AJ38" s="335">
        <f t="shared" si="1"/>
        <v>0.35726538799228447</v>
      </c>
      <c r="AK38" s="335">
        <f t="shared" si="1"/>
        <v>0.35384773979069067</v>
      </c>
      <c r="AL38" s="335">
        <f t="shared" si="1"/>
        <v>0.35455153255942051</v>
      </c>
    </row>
    <row r="39" spans="1:38" x14ac:dyDescent="0.25">
      <c r="A39" s="44" t="s">
        <v>332</v>
      </c>
      <c r="B39" s="44" t="s">
        <v>333</v>
      </c>
      <c r="C39" s="44" t="s">
        <v>336</v>
      </c>
      <c r="D39" s="44">
        <v>15</v>
      </c>
      <c r="E39" s="44">
        <v>3.2943792725965169E-2</v>
      </c>
      <c r="F39" s="44">
        <v>3.559343987218741E-2</v>
      </c>
      <c r="G39" s="44">
        <v>3.3505288704325786E-2</v>
      </c>
      <c r="H39" s="44">
        <v>3.5349971576827663E-2</v>
      </c>
      <c r="I39" s="210">
        <v>3.463838273217254E-2</v>
      </c>
      <c r="J39" s="44">
        <v>1.0735075610066274</v>
      </c>
      <c r="K39" s="44">
        <v>0.80871776028040721</v>
      </c>
      <c r="L39" s="44">
        <v>1.0891279518398078</v>
      </c>
      <c r="M39" s="44">
        <v>0.8076493071905978</v>
      </c>
      <c r="N39" s="210">
        <v>0.91500244778326589</v>
      </c>
      <c r="O39" s="44">
        <v>0.71443034389803695</v>
      </c>
      <c r="P39" s="44">
        <v>0.74387645846888595</v>
      </c>
      <c r="Q39" s="44">
        <v>0.73327767668735211</v>
      </c>
      <c r="R39" s="44">
        <v>0.74288945471120116</v>
      </c>
      <c r="S39" s="210">
        <v>0.73786684005753067</v>
      </c>
      <c r="X39" s="335"/>
    </row>
    <row r="40" spans="1:38" x14ac:dyDescent="0.25">
      <c r="A40" s="44" t="s">
        <v>332</v>
      </c>
      <c r="B40" s="44" t="s">
        <v>333</v>
      </c>
      <c r="C40" s="44" t="s">
        <v>336</v>
      </c>
      <c r="D40" s="44">
        <v>20</v>
      </c>
      <c r="E40" s="44">
        <v>2.5886616780589258E-2</v>
      </c>
      <c r="F40" s="44">
        <v>2.9719040739389007E-2</v>
      </c>
      <c r="G40" s="44">
        <v>2.5824463348366484E-2</v>
      </c>
      <c r="H40" s="44">
        <v>2.9549633594194252E-2</v>
      </c>
      <c r="I40" s="210">
        <v>2.8150153041278124E-2</v>
      </c>
      <c r="J40" s="44">
        <v>0.95529688248234468</v>
      </c>
      <c r="K40" s="44">
        <v>0.75215184790392375</v>
      </c>
      <c r="L40" s="44">
        <v>0.96343256320517223</v>
      </c>
      <c r="M40" s="44">
        <v>0.75135136026966065</v>
      </c>
      <c r="N40" s="210">
        <v>0.83252483423100476</v>
      </c>
      <c r="O40" s="44">
        <v>0.63384398431582212</v>
      </c>
      <c r="P40" s="44">
        <v>0.65512075718356588</v>
      </c>
      <c r="Q40" s="44">
        <v>0.64748216166401795</v>
      </c>
      <c r="R40" s="44">
        <v>0.65438096323429751</v>
      </c>
      <c r="S40" s="210">
        <v>0.6507728205507699</v>
      </c>
    </row>
    <row r="41" spans="1:38" x14ac:dyDescent="0.25">
      <c r="A41" s="44" t="s">
        <v>332</v>
      </c>
      <c r="B41" s="44" t="s">
        <v>333</v>
      </c>
      <c r="C41" s="44" t="s">
        <v>336</v>
      </c>
      <c r="D41" s="44">
        <v>25</v>
      </c>
      <c r="E41" s="44">
        <v>2.2386675669437615E-2</v>
      </c>
      <c r="F41" s="44">
        <v>2.4304951476045715E-2</v>
      </c>
      <c r="G41" s="44">
        <v>2.2001250482593441E-2</v>
      </c>
      <c r="H41" s="44">
        <v>2.4166726889269036E-2</v>
      </c>
      <c r="I41" s="210">
        <v>2.3388030284966718E-2</v>
      </c>
      <c r="J41" s="44">
        <v>0.86738665611519628</v>
      </c>
      <c r="K41" s="44">
        <v>0.70505339895630792</v>
      </c>
      <c r="L41" s="44">
        <v>0.86219586032999318</v>
      </c>
      <c r="M41" s="44">
        <v>0.70441340202808</v>
      </c>
      <c r="N41" s="210">
        <v>0.76570514614931717</v>
      </c>
      <c r="O41" s="44">
        <v>0.58482918673892803</v>
      </c>
      <c r="P41" s="44">
        <v>0.59837803614793916</v>
      </c>
      <c r="Q41" s="44">
        <v>0.59359826748259348</v>
      </c>
      <c r="R41" s="44">
        <v>0.59778615522661938</v>
      </c>
      <c r="S41" s="210">
        <v>0.59558239566910931</v>
      </c>
    </row>
    <row r="42" spans="1:38" x14ac:dyDescent="0.25">
      <c r="A42" s="44" t="s">
        <v>332</v>
      </c>
      <c r="B42" s="44" t="s">
        <v>333</v>
      </c>
      <c r="C42" s="44" t="s">
        <v>336</v>
      </c>
      <c r="D42" s="44">
        <v>30</v>
      </c>
      <c r="E42" s="44">
        <v>2.2114893203397108E-2</v>
      </c>
      <c r="F42" s="44">
        <v>2.030515441430987E-2</v>
      </c>
      <c r="G42" s="44">
        <v>2.0330503059929391E-2</v>
      </c>
      <c r="H42" s="44">
        <v>2.0195315083921941E-2</v>
      </c>
      <c r="I42" s="210">
        <v>2.040870477357724E-2</v>
      </c>
      <c r="J42" s="44">
        <v>0.8540033284476154</v>
      </c>
      <c r="K42" s="44">
        <v>0.69548932541418362</v>
      </c>
      <c r="L42" s="44">
        <v>0.83918243852379704</v>
      </c>
      <c r="M42" s="44">
        <v>0.69495692145843146</v>
      </c>
      <c r="N42" s="210">
        <v>0.751773317706805</v>
      </c>
      <c r="O42" s="44">
        <v>0.56127417223103093</v>
      </c>
      <c r="P42" s="44">
        <v>0.56777115405329115</v>
      </c>
      <c r="Q42" s="44">
        <v>0.56562843723257639</v>
      </c>
      <c r="R42" s="44">
        <v>0.56728049352280685</v>
      </c>
      <c r="S42" s="210">
        <v>0.5663859370119394</v>
      </c>
    </row>
    <row r="43" spans="1:38" x14ac:dyDescent="0.25">
      <c r="A43" s="205" t="s">
        <v>332</v>
      </c>
      <c r="B43" s="205" t="s">
        <v>333</v>
      </c>
      <c r="C43" s="205" t="s">
        <v>336</v>
      </c>
      <c r="D43" s="205">
        <v>35</v>
      </c>
      <c r="E43" s="205">
        <v>2.6529128448145471E-2</v>
      </c>
      <c r="F43" s="205">
        <v>1.791977262985283E-2</v>
      </c>
      <c r="G43" s="205">
        <v>2.0886982351010316E-2</v>
      </c>
      <c r="H43" s="205">
        <v>1.7618866256372333E-2</v>
      </c>
      <c r="I43" s="213">
        <v>1.9379311111124203E-2</v>
      </c>
      <c r="J43" s="205">
        <v>0.72785248779645662</v>
      </c>
      <c r="K43" s="205">
        <v>0.57877282843052247</v>
      </c>
      <c r="L43" s="205">
        <v>0.67951580772637665</v>
      </c>
      <c r="M43" s="205">
        <v>0.57831660876168711</v>
      </c>
      <c r="N43" s="213">
        <v>0.62121117596831688</v>
      </c>
      <c r="O43" s="205">
        <v>0.46178609744811516</v>
      </c>
      <c r="P43" s="205">
        <v>0.43848859730648526</v>
      </c>
      <c r="Q43" s="205">
        <v>0.44772035368381385</v>
      </c>
      <c r="R43" s="205">
        <v>0.43807234754882857</v>
      </c>
      <c r="S43" s="213">
        <v>0.44297946535220284</v>
      </c>
    </row>
    <row r="44" spans="1:38" x14ac:dyDescent="0.25">
      <c r="A44" s="44" t="s">
        <v>332</v>
      </c>
      <c r="B44" s="44" t="s">
        <v>333</v>
      </c>
      <c r="C44" s="44" t="s">
        <v>336</v>
      </c>
      <c r="D44" s="44">
        <v>40</v>
      </c>
      <c r="E44" s="44">
        <v>2.9927748451919704E-2</v>
      </c>
      <c r="F44" s="44">
        <v>1.6243132937236032E-2</v>
      </c>
      <c r="G44" s="44">
        <v>2.1335332824558788E-2</v>
      </c>
      <c r="H44" s="44">
        <v>1.5751206386841087E-2</v>
      </c>
      <c r="I44" s="210">
        <v>1.867200643271491E-2</v>
      </c>
      <c r="J44" s="44">
        <v>0.7130503026134547</v>
      </c>
      <c r="K44" s="44">
        <v>0.53145077127858309</v>
      </c>
      <c r="L44" s="44">
        <v>0.63330635395505019</v>
      </c>
      <c r="M44" s="44">
        <v>0.53105136885450654</v>
      </c>
      <c r="N44" s="210">
        <v>0.57683701694354683</v>
      </c>
      <c r="O44" s="44">
        <v>0.4440699899433358</v>
      </c>
      <c r="P44" s="44">
        <v>0.40414637268503206</v>
      </c>
      <c r="Q44" s="44">
        <v>0.41971781100292649</v>
      </c>
      <c r="R44" s="44">
        <v>0.40378575395313138</v>
      </c>
      <c r="S44" s="210">
        <v>0.4119200964913311</v>
      </c>
    </row>
    <row r="45" spans="1:38" x14ac:dyDescent="0.25">
      <c r="A45" s="44" t="s">
        <v>332</v>
      </c>
      <c r="B45" s="44" t="s">
        <v>333</v>
      </c>
      <c r="C45" s="44" t="s">
        <v>336</v>
      </c>
      <c r="D45" s="44">
        <v>45</v>
      </c>
      <c r="E45" s="44">
        <v>3.1834811887846363E-2</v>
      </c>
      <c r="F45" s="44">
        <v>1.49390504143544E-2</v>
      </c>
      <c r="G45" s="44">
        <v>2.1399604582342014E-2</v>
      </c>
      <c r="H45" s="44">
        <v>1.4322204693731501E-2</v>
      </c>
      <c r="I45" s="210">
        <v>1.7986750516249098E-2</v>
      </c>
      <c r="J45" s="44">
        <v>0.69149642845213921</v>
      </c>
      <c r="K45" s="44">
        <v>0.4936526883359254</v>
      </c>
      <c r="L45" s="44">
        <v>0.59241405606806119</v>
      </c>
      <c r="M45" s="44">
        <v>0.49329781506971537</v>
      </c>
      <c r="N45" s="210">
        <v>0.53940274089626306</v>
      </c>
      <c r="O45" s="44">
        <v>0.429146175298041</v>
      </c>
      <c r="P45" s="44">
        <v>0.37745679694146295</v>
      </c>
      <c r="Q45" s="44">
        <v>0.39751315640948948</v>
      </c>
      <c r="R45" s="44">
        <v>0.37713970743298242</v>
      </c>
      <c r="S45" s="210">
        <v>0.38755505712012422</v>
      </c>
    </row>
    <row r="46" spans="1:38" x14ac:dyDescent="0.25">
      <c r="A46" s="44" t="s">
        <v>332</v>
      </c>
      <c r="B46" s="44" t="s">
        <v>333</v>
      </c>
      <c r="C46" s="44" t="s">
        <v>336</v>
      </c>
      <c r="D46" s="44">
        <v>50</v>
      </c>
      <c r="E46" s="44">
        <v>3.1167817118481211E-2</v>
      </c>
      <c r="F46" s="44">
        <v>1.3926574436614424E-2</v>
      </c>
      <c r="G46" s="44">
        <v>2.0401050141012955E-2</v>
      </c>
      <c r="H46" s="44">
        <v>1.3219052970181659E-2</v>
      </c>
      <c r="I46" s="210">
        <v>1.6966392156414663E-2</v>
      </c>
      <c r="J46" s="44">
        <v>0.65961221925521973</v>
      </c>
      <c r="K46" s="44">
        <v>0.45644355490849581</v>
      </c>
      <c r="L46" s="44">
        <v>0.54515119478941931</v>
      </c>
      <c r="M46" s="44">
        <v>0.45614174732733714</v>
      </c>
      <c r="N46" s="210">
        <v>0.49956635500948121</v>
      </c>
      <c r="O46" s="44">
        <v>0.39562835662260704</v>
      </c>
      <c r="P46" s="44">
        <v>0.33279163820867075</v>
      </c>
      <c r="Q46" s="44">
        <v>0.35710012184846673</v>
      </c>
      <c r="R46" s="44">
        <v>0.33250996511872882</v>
      </c>
      <c r="S46" s="210">
        <v>0.34509061172870498</v>
      </c>
    </row>
    <row r="47" spans="1:38" x14ac:dyDescent="0.25">
      <c r="A47" s="44" t="s">
        <v>332</v>
      </c>
      <c r="B47" s="44" t="s">
        <v>333</v>
      </c>
      <c r="C47" s="44" t="s">
        <v>336</v>
      </c>
      <c r="D47" s="44">
        <v>55</v>
      </c>
      <c r="E47" s="44">
        <v>2.7844675011908737E-2</v>
      </c>
      <c r="F47" s="44">
        <v>1.3220912503799699E-2</v>
      </c>
      <c r="G47" s="44">
        <v>1.8457204415076749E-2</v>
      </c>
      <c r="H47" s="44">
        <v>1.2584379986226538E-2</v>
      </c>
      <c r="I47" s="210">
        <v>1.5705312091736614E-2</v>
      </c>
      <c r="J47" s="44">
        <v>0.62717615269850457</v>
      </c>
      <c r="K47" s="44">
        <v>0.42599946507667957</v>
      </c>
      <c r="L47" s="44">
        <v>0.50404833124232884</v>
      </c>
      <c r="M47" s="44">
        <v>0.4257413921750845</v>
      </c>
      <c r="N47" s="210">
        <v>0.46572483496368688</v>
      </c>
      <c r="O47" s="44">
        <v>0.35487307305051491</v>
      </c>
      <c r="P47" s="44">
        <v>0.2837879048529805</v>
      </c>
      <c r="Q47" s="44">
        <v>0.31124228554893585</v>
      </c>
      <c r="R47" s="44">
        <v>0.28353534225692917</v>
      </c>
      <c r="S47" s="210">
        <v>0.29771641880861793</v>
      </c>
    </row>
    <row r="48" spans="1:38" x14ac:dyDescent="0.25">
      <c r="A48" s="44" t="s">
        <v>332</v>
      </c>
      <c r="B48" s="44" t="s">
        <v>333</v>
      </c>
      <c r="C48" s="44" t="s">
        <v>336</v>
      </c>
      <c r="D48" s="44">
        <v>60</v>
      </c>
      <c r="E48" s="44">
        <v>2.5298942881127641E-2</v>
      </c>
      <c r="F48" s="44">
        <v>1.2632893592153778E-2</v>
      </c>
      <c r="G48" s="44">
        <v>1.7083707775934074E-2</v>
      </c>
      <c r="H48" s="44">
        <v>1.2374760655386494E-2</v>
      </c>
      <c r="I48" s="210">
        <v>1.488684322601797E-2</v>
      </c>
      <c r="J48" s="44">
        <v>0.59609039660582697</v>
      </c>
      <c r="K48" s="44">
        <v>0.39096698214226389</v>
      </c>
      <c r="L48" s="44">
        <v>0.46979886214553229</v>
      </c>
      <c r="M48" s="44">
        <v>0.3907342466365859</v>
      </c>
      <c r="N48" s="210">
        <v>0.43125626413660728</v>
      </c>
      <c r="O48" s="44">
        <v>0.33085274184205304</v>
      </c>
      <c r="P48" s="44">
        <v>0.25919675062710212</v>
      </c>
      <c r="Q48" s="44">
        <v>0.28685252257394867</v>
      </c>
      <c r="R48" s="44">
        <v>0.25896708424504361</v>
      </c>
      <c r="S48" s="210">
        <v>0.27324216218572878</v>
      </c>
    </row>
    <row r="49" spans="1:19" x14ac:dyDescent="0.25">
      <c r="A49" s="44" t="s">
        <v>332</v>
      </c>
      <c r="B49" s="44" t="s">
        <v>333</v>
      </c>
      <c r="C49" s="44" t="s">
        <v>336</v>
      </c>
      <c r="D49" s="44">
        <v>65</v>
      </c>
      <c r="E49" s="44">
        <v>2.3250043911687321E-2</v>
      </c>
      <c r="F49" s="44">
        <v>1.240471206960634E-2</v>
      </c>
      <c r="G49" s="44">
        <v>1.646045499365504E-2</v>
      </c>
      <c r="H49" s="44">
        <v>1.2389576449959468E-2</v>
      </c>
      <c r="I49" s="210">
        <v>1.4499338895082916E-2</v>
      </c>
      <c r="J49" s="44">
        <v>0.59788877029830922</v>
      </c>
      <c r="K49" s="44">
        <v>0.40011707682997</v>
      </c>
      <c r="L49" s="44">
        <v>0.47611386371776071</v>
      </c>
      <c r="M49" s="44">
        <v>0.39990132514530952</v>
      </c>
      <c r="N49" s="210">
        <v>0.43896316210159458</v>
      </c>
      <c r="O49" s="44">
        <v>0.33060017103733036</v>
      </c>
      <c r="P49" s="44">
        <v>0.26489552926264742</v>
      </c>
      <c r="Q49" s="44">
        <v>0.2902555448584786</v>
      </c>
      <c r="R49" s="44">
        <v>0.2646835595320074</v>
      </c>
      <c r="S49" s="210">
        <v>0.27777416408799332</v>
      </c>
    </row>
    <row r="50" spans="1:19" x14ac:dyDescent="0.25">
      <c r="A50" s="44" t="s">
        <v>332</v>
      </c>
      <c r="B50" s="44" t="s">
        <v>333</v>
      </c>
      <c r="C50" s="44" t="s">
        <v>336</v>
      </c>
      <c r="D50" s="44">
        <v>70</v>
      </c>
      <c r="E50" s="44">
        <v>2.1885515211784324E-2</v>
      </c>
      <c r="F50" s="44">
        <v>1.2892322530736647E-2</v>
      </c>
      <c r="G50" s="44">
        <v>1.6375371199970675E-2</v>
      </c>
      <c r="H50" s="44">
        <v>1.2889682308883963E-2</v>
      </c>
      <c r="I50" s="210">
        <v>1.4670223081170044E-2</v>
      </c>
      <c r="J50" s="44">
        <v>0.5920394345610942</v>
      </c>
      <c r="K50" s="44">
        <v>0.41115547253889412</v>
      </c>
      <c r="L50" s="44">
        <v>0.48066431750173733</v>
      </c>
      <c r="M50" s="44">
        <v>0.4109535670646266</v>
      </c>
      <c r="N50" s="210">
        <v>0.44668292490395006</v>
      </c>
      <c r="O50" s="44">
        <v>0.32857914766688118</v>
      </c>
      <c r="P50" s="44">
        <v>0.26993417247172491</v>
      </c>
      <c r="Q50" s="44">
        <v>0.29257548447262682</v>
      </c>
      <c r="R50" s="44">
        <v>0.26973724412644601</v>
      </c>
      <c r="S50" s="210">
        <v>0.28142754987552565</v>
      </c>
    </row>
    <row r="51" spans="1:19" x14ac:dyDescent="0.25">
      <c r="A51" s="44" t="s">
        <v>332</v>
      </c>
      <c r="B51" s="44" t="s">
        <v>333</v>
      </c>
      <c r="C51" s="44" t="s">
        <v>336</v>
      </c>
      <c r="D51" s="44">
        <v>75</v>
      </c>
      <c r="E51" s="44">
        <v>2.1563954132963831E-2</v>
      </c>
      <c r="F51" s="44">
        <v>1.4333942818158247E-2</v>
      </c>
      <c r="G51" s="44">
        <v>1.725898456707092E-2</v>
      </c>
      <c r="H51" s="44">
        <v>1.4348988445163873E-2</v>
      </c>
      <c r="I51" s="210">
        <v>1.5808938756758439E-2</v>
      </c>
      <c r="J51" s="44">
        <v>0.57871591462428096</v>
      </c>
      <c r="K51" s="44">
        <v>0.40445161537082669</v>
      </c>
      <c r="L51" s="44">
        <v>0.47141107278704408</v>
      </c>
      <c r="M51" s="44">
        <v>0.40426279128186027</v>
      </c>
      <c r="N51" s="210">
        <v>0.43867965980091589</v>
      </c>
      <c r="O51" s="44">
        <v>0.31643793883278437</v>
      </c>
      <c r="P51" s="44">
        <v>0.26001404401007977</v>
      </c>
      <c r="Q51" s="44">
        <v>0.28179310050248485</v>
      </c>
      <c r="R51" s="44">
        <v>0.25983028255004204</v>
      </c>
      <c r="S51" s="210">
        <v>0.27107316839080503</v>
      </c>
    </row>
    <row r="52" spans="1:19" x14ac:dyDescent="0.25">
      <c r="A52" s="44" t="s">
        <v>332</v>
      </c>
      <c r="B52" s="44" t="s">
        <v>337</v>
      </c>
      <c r="C52" s="44" t="s">
        <v>335</v>
      </c>
      <c r="D52" s="44">
        <v>2.5</v>
      </c>
      <c r="E52" s="210">
        <v>2.9668512733272596</v>
      </c>
      <c r="F52" s="210">
        <v>2.9903929353377419</v>
      </c>
      <c r="G52" s="210">
        <v>3.0195921722264272</v>
      </c>
      <c r="H52" s="210">
        <v>3.0178135609967227</v>
      </c>
      <c r="I52" s="210">
        <v>3.0101843388309826</v>
      </c>
      <c r="J52" s="210">
        <v>64.165298839951674</v>
      </c>
      <c r="K52" s="210">
        <v>54.673842001227136</v>
      </c>
      <c r="L52" s="210">
        <v>64.425196869008502</v>
      </c>
      <c r="M52" s="210">
        <v>54.660675471602559</v>
      </c>
      <c r="N52" s="210">
        <v>58.373863446941911</v>
      </c>
      <c r="O52" s="210">
        <v>42.597738139399134</v>
      </c>
      <c r="P52" s="210">
        <v>42.245428844638944</v>
      </c>
      <c r="Q52" s="210">
        <v>42.403383235389519</v>
      </c>
      <c r="R52" s="210">
        <v>42.235080416636144</v>
      </c>
      <c r="S52" s="210">
        <v>42.313674877763042</v>
      </c>
    </row>
    <row r="53" spans="1:19" x14ac:dyDescent="0.25">
      <c r="A53" s="44" t="s">
        <v>332</v>
      </c>
      <c r="B53" s="44" t="s">
        <v>337</v>
      </c>
      <c r="C53" s="44" t="s">
        <v>335</v>
      </c>
      <c r="D53" s="44">
        <v>5</v>
      </c>
      <c r="E53" s="210">
        <v>2.0151724246143083</v>
      </c>
      <c r="F53" s="210">
        <v>1.9796149746360745</v>
      </c>
      <c r="G53" s="210">
        <v>1.9553989966965646</v>
      </c>
      <c r="H53" s="210">
        <v>1.996970045932108</v>
      </c>
      <c r="I53" s="210">
        <v>1.9818285746998643</v>
      </c>
      <c r="J53" s="210">
        <v>32.663783842452801</v>
      </c>
      <c r="K53" s="210">
        <v>27.601601304632638</v>
      </c>
      <c r="L53" s="210">
        <v>33.561234283163451</v>
      </c>
      <c r="M53" s="210">
        <v>27.594968864628164</v>
      </c>
      <c r="N53" s="210">
        <v>29.816060007953908</v>
      </c>
      <c r="O53" s="210">
        <v>21.392923294445094</v>
      </c>
      <c r="P53" s="210">
        <v>21.290027758664241</v>
      </c>
      <c r="Q53" s="210">
        <v>21.710687860865502</v>
      </c>
      <c r="R53" s="210">
        <v>21.284797768248893</v>
      </c>
      <c r="S53" s="210">
        <v>21.427895577001081</v>
      </c>
    </row>
    <row r="54" spans="1:19" x14ac:dyDescent="0.25">
      <c r="A54" s="44" t="s">
        <v>332</v>
      </c>
      <c r="B54" s="44" t="s">
        <v>337</v>
      </c>
      <c r="C54" s="44" t="s">
        <v>335</v>
      </c>
      <c r="D54" s="44">
        <v>10</v>
      </c>
      <c r="E54" s="210">
        <v>1.3871463772905397</v>
      </c>
      <c r="F54" s="210">
        <v>1.3892542302486015</v>
      </c>
      <c r="G54" s="210">
        <v>1.3067119149329918</v>
      </c>
      <c r="H54" s="210">
        <v>1.4001336549172618</v>
      </c>
      <c r="I54" s="210">
        <v>1.3676879865851543</v>
      </c>
      <c r="J54" s="210">
        <v>19.807586419488683</v>
      </c>
      <c r="K54" s="210">
        <v>15.455020127104614</v>
      </c>
      <c r="L54" s="210">
        <v>19.931498345714573</v>
      </c>
      <c r="M54" s="210">
        <v>15.451331491541945</v>
      </c>
      <c r="N54" s="210">
        <v>17.154298955431894</v>
      </c>
      <c r="O54" s="210">
        <v>12.867161177922435</v>
      </c>
      <c r="P54" s="210">
        <v>12.861278420257452</v>
      </c>
      <c r="Q54" s="210">
        <v>12.808265769886342</v>
      </c>
      <c r="R54" s="210">
        <v>12.858114561807666</v>
      </c>
      <c r="S54" s="210">
        <v>12.843437534892846</v>
      </c>
    </row>
    <row r="55" spans="1:19" x14ac:dyDescent="0.25">
      <c r="A55" s="44" t="s">
        <v>332</v>
      </c>
      <c r="B55" s="44" t="s">
        <v>337</v>
      </c>
      <c r="C55" s="44" t="s">
        <v>335</v>
      </c>
      <c r="D55" s="44">
        <v>15</v>
      </c>
      <c r="E55" s="210">
        <v>0.87552637647835352</v>
      </c>
      <c r="F55" s="210">
        <v>1.1169409834314157</v>
      </c>
      <c r="G55" s="210">
        <v>0.85140095186166787</v>
      </c>
      <c r="H55" s="210">
        <v>1.1243778846397448</v>
      </c>
      <c r="I55" s="210">
        <v>1.0203874230748204</v>
      </c>
      <c r="J55" s="210">
        <v>16.082859076643473</v>
      </c>
      <c r="K55" s="210">
        <v>11.669806559129967</v>
      </c>
      <c r="L55" s="210">
        <v>15.995976314459403</v>
      </c>
      <c r="M55" s="210">
        <v>11.666998770484907</v>
      </c>
      <c r="N55" s="210">
        <v>13.325637967581269</v>
      </c>
      <c r="O55" s="210">
        <v>10.86319384021502</v>
      </c>
      <c r="P55" s="210">
        <v>10.867719768570529</v>
      </c>
      <c r="Q55" s="210">
        <v>10.702325655259466</v>
      </c>
      <c r="R55" s="210">
        <v>10.865045401854792</v>
      </c>
      <c r="S55" s="210">
        <v>10.813746062707949</v>
      </c>
    </row>
    <row r="56" spans="1:19" x14ac:dyDescent="0.25">
      <c r="A56" s="44" t="s">
        <v>332</v>
      </c>
      <c r="B56" s="44" t="s">
        <v>337</v>
      </c>
      <c r="C56" s="44" t="s">
        <v>335</v>
      </c>
      <c r="D56" s="44">
        <v>20</v>
      </c>
      <c r="E56" s="210">
        <v>0.65036037632930555</v>
      </c>
      <c r="F56" s="210">
        <v>0.93200095638129887</v>
      </c>
      <c r="G56" s="210">
        <v>0.66230778089839626</v>
      </c>
      <c r="H56" s="210">
        <v>0.93697991829295324</v>
      </c>
      <c r="I56" s="210">
        <v>0.83046510637128867</v>
      </c>
      <c r="J56" s="210">
        <v>14.036610842992481</v>
      </c>
      <c r="K56" s="210">
        <v>10.715156794183157</v>
      </c>
      <c r="L56" s="210">
        <v>13.969742792196314</v>
      </c>
      <c r="M56" s="210">
        <v>10.712578692129972</v>
      </c>
      <c r="N56" s="210">
        <v>11.960734530718105</v>
      </c>
      <c r="O56" s="210">
        <v>9.5626678203524964</v>
      </c>
      <c r="P56" s="210">
        <v>9.5653782047593747</v>
      </c>
      <c r="Q56" s="210">
        <v>9.4634036107048196</v>
      </c>
      <c r="R56" s="210">
        <v>9.5630219893094655</v>
      </c>
      <c r="S56" s="210">
        <v>9.5317951472514828</v>
      </c>
    </row>
    <row r="57" spans="1:19" x14ac:dyDescent="0.25">
      <c r="A57" s="44" t="s">
        <v>332</v>
      </c>
      <c r="B57" s="44" t="s">
        <v>337</v>
      </c>
      <c r="C57" s="44" t="s">
        <v>335</v>
      </c>
      <c r="D57" s="44">
        <v>25</v>
      </c>
      <c r="E57" s="210">
        <v>0.60617019572880482</v>
      </c>
      <c r="F57" s="210">
        <v>0.80596823581880372</v>
      </c>
      <c r="G57" s="210">
        <v>0.62847827559182279</v>
      </c>
      <c r="H57" s="210">
        <v>0.80940226069651611</v>
      </c>
      <c r="I57" s="210">
        <v>0.73828637855083301</v>
      </c>
      <c r="J57" s="210">
        <v>12.572619731173084</v>
      </c>
      <c r="K57" s="210">
        <v>10.080428256208515</v>
      </c>
      <c r="L57" s="210">
        <v>12.623783760180959</v>
      </c>
      <c r="M57" s="210">
        <v>10.077998274220949</v>
      </c>
      <c r="N57" s="210">
        <v>11.046979455244919</v>
      </c>
      <c r="O57" s="210">
        <v>8.6655914777677747</v>
      </c>
      <c r="P57" s="210">
        <v>8.665788488362411</v>
      </c>
      <c r="Q57" s="210">
        <v>8.6491659027785879</v>
      </c>
      <c r="R57" s="210">
        <v>8.6636602830603238</v>
      </c>
      <c r="S57" s="210">
        <v>8.6595644988483507</v>
      </c>
    </row>
    <row r="58" spans="1:19" x14ac:dyDescent="0.25">
      <c r="A58" s="44" t="s">
        <v>332</v>
      </c>
      <c r="B58" s="44" t="s">
        <v>337</v>
      </c>
      <c r="C58" s="44" t="s">
        <v>335</v>
      </c>
      <c r="D58" s="44">
        <v>30</v>
      </c>
      <c r="E58" s="210">
        <v>0.58175248738681995</v>
      </c>
      <c r="F58" s="210">
        <v>0.67604612872658776</v>
      </c>
      <c r="G58" s="210">
        <v>0.61786255390265432</v>
      </c>
      <c r="H58" s="210">
        <v>0.67822834613519378</v>
      </c>
      <c r="I58" s="210">
        <v>0.6524721863478935</v>
      </c>
      <c r="J58" s="210">
        <v>12.046047962491496</v>
      </c>
      <c r="K58" s="210">
        <v>9.8364744986852077</v>
      </c>
      <c r="L58" s="210">
        <v>12.189851855726834</v>
      </c>
      <c r="M58" s="210">
        <v>9.8341132850834629</v>
      </c>
      <c r="N58" s="210">
        <v>10.724580005786045</v>
      </c>
      <c r="O58" s="210">
        <v>8.3467574034862171</v>
      </c>
      <c r="P58" s="210">
        <v>8.3448681687565198</v>
      </c>
      <c r="Q58" s="210">
        <v>8.3990127875074858</v>
      </c>
      <c r="R58" s="210">
        <v>8.3428120442010787</v>
      </c>
      <c r="S58" s="210">
        <v>8.3612769804446536</v>
      </c>
    </row>
    <row r="59" spans="1:19" x14ac:dyDescent="0.25">
      <c r="A59" s="205" t="s">
        <v>332</v>
      </c>
      <c r="B59" s="205" t="s">
        <v>337</v>
      </c>
      <c r="C59" s="205" t="s">
        <v>335</v>
      </c>
      <c r="D59" s="205">
        <v>35</v>
      </c>
      <c r="E59" s="213">
        <v>0.58990398000411504</v>
      </c>
      <c r="F59" s="213">
        <v>0.6554118677471823</v>
      </c>
      <c r="G59" s="213">
        <v>0.64307005134111661</v>
      </c>
      <c r="H59" s="213">
        <v>0.63049072880403068</v>
      </c>
      <c r="I59" s="213">
        <v>0.63634670338630683</v>
      </c>
      <c r="J59" s="213">
        <v>10.174122776928677</v>
      </c>
      <c r="K59" s="213">
        <v>8.7066504799511293</v>
      </c>
      <c r="L59" s="213">
        <v>10.608958306638469</v>
      </c>
      <c r="M59" s="213">
        <v>8.7045560348640389</v>
      </c>
      <c r="N59" s="213">
        <v>9.4039781869017904</v>
      </c>
      <c r="O59" s="213">
        <v>7.2237256714498717</v>
      </c>
      <c r="P59" s="213">
        <v>7.2167518770801129</v>
      </c>
      <c r="Q59" s="213">
        <v>7.4446458368024171</v>
      </c>
      <c r="R59" s="213">
        <v>7.2149760769646001</v>
      </c>
      <c r="S59" s="213">
        <v>7.2887722512199655</v>
      </c>
    </row>
    <row r="60" spans="1:19" x14ac:dyDescent="0.25">
      <c r="A60" s="44" t="s">
        <v>332</v>
      </c>
      <c r="B60" s="44" t="s">
        <v>337</v>
      </c>
      <c r="C60" s="44" t="s">
        <v>335</v>
      </c>
      <c r="D60" s="44">
        <v>40</v>
      </c>
      <c r="E60" s="210">
        <v>0.59757347256734505</v>
      </c>
      <c r="F60" s="210">
        <v>0.65840466358795946</v>
      </c>
      <c r="G60" s="210">
        <v>0.66039169927677299</v>
      </c>
      <c r="H60" s="210">
        <v>0.60284238963507464</v>
      </c>
      <c r="I60" s="210">
        <v>0.63074163666721939</v>
      </c>
      <c r="J60" s="210">
        <v>9.6769935750119096</v>
      </c>
      <c r="K60" s="210">
        <v>8.3631890352932388</v>
      </c>
      <c r="L60" s="210">
        <v>10.290860936035834</v>
      </c>
      <c r="M60" s="210">
        <v>8.3611686000879519</v>
      </c>
      <c r="N60" s="210">
        <v>9.0587266322276108</v>
      </c>
      <c r="O60" s="210">
        <v>6.9495322576401817</v>
      </c>
      <c r="P60" s="210">
        <v>6.9400399660990697</v>
      </c>
      <c r="Q60" s="210">
        <v>7.2533097943063893</v>
      </c>
      <c r="R60" s="210">
        <v>6.9383224482334533</v>
      </c>
      <c r="S60" s="210">
        <v>7.0393527922634274</v>
      </c>
    </row>
    <row r="61" spans="1:19" x14ac:dyDescent="0.25">
      <c r="A61" s="44" t="s">
        <v>332</v>
      </c>
      <c r="B61" s="44" t="s">
        <v>337</v>
      </c>
      <c r="C61" s="44" t="s">
        <v>335</v>
      </c>
      <c r="D61" s="44">
        <v>45</v>
      </c>
      <c r="E61" s="210">
        <v>0.60241676228856422</v>
      </c>
      <c r="F61" s="210">
        <v>0.66149100162225227</v>
      </c>
      <c r="G61" s="210">
        <v>0.66808824842504255</v>
      </c>
      <c r="H61" s="210">
        <v>0.59219632405107581</v>
      </c>
      <c r="I61" s="210">
        <v>0.62937778323898064</v>
      </c>
      <c r="J61" s="210">
        <v>9.2816458473584902</v>
      </c>
      <c r="K61" s="210">
        <v>8.0969979794472273</v>
      </c>
      <c r="L61" s="210">
        <v>10.026566616068694</v>
      </c>
      <c r="M61" s="210">
        <v>8.0950442122198325</v>
      </c>
      <c r="N61" s="210">
        <v>8.7848670580265562</v>
      </c>
      <c r="O61" s="210">
        <v>6.7334229133473089</v>
      </c>
      <c r="P61" s="210">
        <v>6.7221843062422391</v>
      </c>
      <c r="Q61" s="210">
        <v>7.0948351251606381</v>
      </c>
      <c r="R61" s="210">
        <v>6.7205199183502842</v>
      </c>
      <c r="S61" s="210">
        <v>6.8404848935523059</v>
      </c>
    </row>
    <row r="62" spans="1:19" x14ac:dyDescent="0.25">
      <c r="A62" s="44" t="s">
        <v>332</v>
      </c>
      <c r="B62" s="44" t="s">
        <v>337</v>
      </c>
      <c r="C62" s="44" t="s">
        <v>335</v>
      </c>
      <c r="D62" s="44">
        <v>50</v>
      </c>
      <c r="E62" s="210">
        <v>0.60172172425822501</v>
      </c>
      <c r="F62" s="210">
        <v>0.66233364633725322</v>
      </c>
      <c r="G62" s="210">
        <v>0.66590140483948679</v>
      </c>
      <c r="H62" s="210">
        <v>0.60875802375004451</v>
      </c>
      <c r="I62" s="210">
        <v>0.63605844557915292</v>
      </c>
      <c r="J62" s="210">
        <v>8.8966048129006658</v>
      </c>
      <c r="K62" s="210">
        <v>8.3277904066667023</v>
      </c>
      <c r="L62" s="210">
        <v>9.739358274081761</v>
      </c>
      <c r="M62" s="210">
        <v>8.3257858147842008</v>
      </c>
      <c r="N62" s="210">
        <v>8.8116075548055779</v>
      </c>
      <c r="O62" s="210">
        <v>6.4567985537934636</v>
      </c>
      <c r="P62" s="210">
        <v>6.4440386927208015</v>
      </c>
      <c r="Q62" s="210">
        <v>6.86839306981169</v>
      </c>
      <c r="R62" s="210">
        <v>6.4424412660772079</v>
      </c>
      <c r="S62" s="210">
        <v>6.5788812031048653</v>
      </c>
    </row>
    <row r="63" spans="1:19" x14ac:dyDescent="0.25">
      <c r="A63" s="44" t="s">
        <v>332</v>
      </c>
      <c r="B63" s="44" t="s">
        <v>337</v>
      </c>
      <c r="C63" s="44" t="s">
        <v>335</v>
      </c>
      <c r="D63" s="44">
        <v>55</v>
      </c>
      <c r="E63" s="210">
        <v>0.60010008994182384</v>
      </c>
      <c r="F63" s="210">
        <v>0.65172518120870848</v>
      </c>
      <c r="G63" s="210">
        <v>0.66118621649861975</v>
      </c>
      <c r="H63" s="210">
        <v>0.62144140422117133</v>
      </c>
      <c r="I63" s="210">
        <v>0.63812060296035344</v>
      </c>
      <c r="J63" s="210">
        <v>8.5810781749313598</v>
      </c>
      <c r="K63" s="210">
        <v>8.5166243875410395</v>
      </c>
      <c r="L63" s="210">
        <v>9.4872606283561769</v>
      </c>
      <c r="M63" s="210">
        <v>8.5145678446586377</v>
      </c>
      <c r="N63" s="210">
        <v>8.828020400997751</v>
      </c>
      <c r="O63" s="210">
        <v>6.190645899853763</v>
      </c>
      <c r="P63" s="210">
        <v>6.1767693062593443</v>
      </c>
      <c r="Q63" s="210">
        <v>6.6391569062765337</v>
      </c>
      <c r="R63" s="210">
        <v>6.175236630986916</v>
      </c>
      <c r="S63" s="210">
        <v>6.3237867830533663</v>
      </c>
    </row>
    <row r="64" spans="1:19" x14ac:dyDescent="0.25">
      <c r="A64" s="44" t="s">
        <v>332</v>
      </c>
      <c r="B64" s="44" t="s">
        <v>337</v>
      </c>
      <c r="C64" s="44" t="s">
        <v>335</v>
      </c>
      <c r="D64" s="44">
        <v>60</v>
      </c>
      <c r="E64" s="210">
        <v>0.60533898606197556</v>
      </c>
      <c r="F64" s="210">
        <v>0.63928275294872206</v>
      </c>
      <c r="G64" s="210">
        <v>0.6604379985774077</v>
      </c>
      <c r="H64" s="210">
        <v>0.62767103460680396</v>
      </c>
      <c r="I64" s="210">
        <v>0.6387217224542926</v>
      </c>
      <c r="J64" s="210">
        <v>8.4553644369917649</v>
      </c>
      <c r="K64" s="210">
        <v>8.4269113644624376</v>
      </c>
      <c r="L64" s="210">
        <v>9.379757082565563</v>
      </c>
      <c r="M64" s="210">
        <v>8.4248840978151751</v>
      </c>
      <c r="N64" s="210">
        <v>8.7303586318600193</v>
      </c>
      <c r="O64" s="210">
        <v>6.040293871524379</v>
      </c>
      <c r="P64" s="210">
        <v>6.0261459439334901</v>
      </c>
      <c r="Q64" s="210">
        <v>6.4976563135786245</v>
      </c>
      <c r="R64" s="210">
        <v>6.0246518613978601</v>
      </c>
      <c r="S64" s="210">
        <v>6.1760940828394304</v>
      </c>
    </row>
    <row r="65" spans="1:38" x14ac:dyDescent="0.25">
      <c r="A65" s="44" t="s">
        <v>332</v>
      </c>
      <c r="B65" s="44" t="s">
        <v>337</v>
      </c>
      <c r="C65" s="44" t="s">
        <v>335</v>
      </c>
      <c r="D65" s="44">
        <v>65</v>
      </c>
      <c r="E65" s="210">
        <v>0.63399442741620127</v>
      </c>
      <c r="F65" s="210">
        <v>0.64162501142412276</v>
      </c>
      <c r="G65" s="210">
        <v>0.6805590740059384</v>
      </c>
      <c r="H65" s="210">
        <v>0.6429147107241191</v>
      </c>
      <c r="I65" s="210">
        <v>0.65406140410270353</v>
      </c>
      <c r="J65" s="210">
        <v>9.3224731275917065</v>
      </c>
      <c r="K65" s="210">
        <v>9.297150491193694</v>
      </c>
      <c r="L65" s="210">
        <v>10.143289762551301</v>
      </c>
      <c r="M65" s="210">
        <v>9.2949083009647087</v>
      </c>
      <c r="N65" s="210">
        <v>9.5664252350809011</v>
      </c>
      <c r="O65" s="210">
        <v>6.3215143021665892</v>
      </c>
      <c r="P65" s="210">
        <v>6.3088808998781136</v>
      </c>
      <c r="Q65" s="210">
        <v>6.7291602675392612</v>
      </c>
      <c r="R65" s="210">
        <v>6.3073181559156621</v>
      </c>
      <c r="S65" s="210">
        <v>6.4424368099757459</v>
      </c>
    </row>
    <row r="66" spans="1:38" x14ac:dyDescent="0.25">
      <c r="A66" s="44" t="s">
        <v>332</v>
      </c>
      <c r="B66" s="44" t="s">
        <v>337</v>
      </c>
      <c r="C66" s="44" t="s">
        <v>335</v>
      </c>
      <c r="D66" s="44">
        <v>70</v>
      </c>
      <c r="E66" s="210">
        <v>0.68207102106123563</v>
      </c>
      <c r="F66" s="210">
        <v>0.68381559100361811</v>
      </c>
      <c r="G66" s="210">
        <v>0.71817550615576131</v>
      </c>
      <c r="H66" s="210">
        <v>0.68521374303320448</v>
      </c>
      <c r="I66" s="210">
        <v>0.69522563914501923</v>
      </c>
      <c r="J66" s="210">
        <v>10.143534666772318</v>
      </c>
      <c r="K66" s="210">
        <v>10.121069773166242</v>
      </c>
      <c r="L66" s="210">
        <v>10.869922474362143</v>
      </c>
      <c r="M66" s="210">
        <v>10.11863367944397</v>
      </c>
      <c r="N66" s="210">
        <v>10.359189279657352</v>
      </c>
      <c r="O66" s="210">
        <v>6.5723738417733264</v>
      </c>
      <c r="P66" s="210">
        <v>6.5611509926600737</v>
      </c>
      <c r="Q66" s="210">
        <v>6.9332644648956778</v>
      </c>
      <c r="R66" s="210">
        <v>6.5595276953602966</v>
      </c>
      <c r="S66" s="210">
        <v>6.6792980000047244</v>
      </c>
    </row>
    <row r="67" spans="1:38" x14ac:dyDescent="0.25">
      <c r="A67" s="44" t="s">
        <v>332</v>
      </c>
      <c r="B67" s="44" t="s">
        <v>337</v>
      </c>
      <c r="C67" s="44" t="s">
        <v>335</v>
      </c>
      <c r="D67" s="44">
        <v>75</v>
      </c>
      <c r="E67" s="210">
        <v>0.74006198234755549</v>
      </c>
      <c r="F67" s="210">
        <v>0.74088666058465535</v>
      </c>
      <c r="G67" s="210">
        <v>0.76461309899378205</v>
      </c>
      <c r="H67" s="210">
        <v>0.74241679910747305</v>
      </c>
      <c r="I67" s="210">
        <v>0.74903784360266046</v>
      </c>
      <c r="J67" s="210">
        <v>10.245764478002769</v>
      </c>
      <c r="K67" s="210">
        <v>10.224063016321649</v>
      </c>
      <c r="L67" s="210">
        <v>10.947272100447933</v>
      </c>
      <c r="M67" s="210">
        <v>10.221591234465976</v>
      </c>
      <c r="N67" s="210">
        <v>10.453976515664451</v>
      </c>
      <c r="O67" s="210">
        <v>6.3843963525366574</v>
      </c>
      <c r="P67" s="210">
        <v>6.3730049672838689</v>
      </c>
      <c r="Q67" s="210">
        <v>6.7510248203168857</v>
      </c>
      <c r="R67" s="210">
        <v>6.3714352522237849</v>
      </c>
      <c r="S67" s="210">
        <v>6.4930614744920154</v>
      </c>
    </row>
    <row r="68" spans="1:38" x14ac:dyDescent="0.25">
      <c r="A68" s="44" t="s">
        <v>332</v>
      </c>
      <c r="B68" s="44" t="s">
        <v>337</v>
      </c>
      <c r="C68" s="44" t="s">
        <v>338</v>
      </c>
      <c r="D68" s="44">
        <v>2.5</v>
      </c>
      <c r="E68" s="219">
        <v>2.1442742824010534</v>
      </c>
      <c r="F68" s="219">
        <v>2.145630889011477</v>
      </c>
      <c r="G68" s="219">
        <v>2.1614320677279886</v>
      </c>
      <c r="H68" s="219">
        <v>2.1476003246482995</v>
      </c>
      <c r="I68" s="219">
        <v>2.1514245797824083</v>
      </c>
      <c r="J68" s="219">
        <v>7.9649010544826009</v>
      </c>
      <c r="K68" s="219">
        <v>6.8429174412317693</v>
      </c>
      <c r="L68" s="219">
        <v>7.8863469194001681</v>
      </c>
      <c r="M68" s="219">
        <v>6.8435216229204734</v>
      </c>
      <c r="N68" s="219">
        <v>7.2465515759392654</v>
      </c>
      <c r="O68" s="219">
        <v>6.2832679053697476</v>
      </c>
      <c r="P68" s="219">
        <v>6.2436295767570185</v>
      </c>
      <c r="Q68" s="219">
        <v>6.2109046565770534</v>
      </c>
      <c r="R68" s="219">
        <v>6.2447963708682179</v>
      </c>
      <c r="S68" s="219">
        <v>6.2362994532232872</v>
      </c>
    </row>
    <row r="69" spans="1:38" x14ac:dyDescent="0.25">
      <c r="A69" s="44" t="s">
        <v>332</v>
      </c>
      <c r="B69" s="44" t="s">
        <v>337</v>
      </c>
      <c r="C69" s="44" t="s">
        <v>338</v>
      </c>
      <c r="D69" s="44">
        <v>5</v>
      </c>
      <c r="E69" s="219">
        <v>1.1348510936801537</v>
      </c>
      <c r="F69" s="219">
        <v>1.1365991682145868</v>
      </c>
      <c r="G69" s="219">
        <v>1.1401023727240902</v>
      </c>
      <c r="H69" s="219">
        <v>1.1376667747834925</v>
      </c>
      <c r="I69" s="219">
        <v>1.1380675671745315</v>
      </c>
      <c r="J69" s="219">
        <v>4.0104742321264579</v>
      </c>
      <c r="K69" s="219">
        <v>3.4274184686203548</v>
      </c>
      <c r="L69" s="219">
        <v>4.0418297695636172</v>
      </c>
      <c r="M69" s="219">
        <v>3.4277231985345655</v>
      </c>
      <c r="N69" s="219">
        <v>3.6600838177951651</v>
      </c>
      <c r="O69" s="219">
        <v>3.1539452095809679</v>
      </c>
      <c r="P69" s="219">
        <v>3.1400336945439995</v>
      </c>
      <c r="Q69" s="219">
        <v>3.1701465127061708</v>
      </c>
      <c r="R69" s="219">
        <v>3.1406189811724072</v>
      </c>
      <c r="S69" s="219">
        <v>3.1507447419458519</v>
      </c>
    </row>
    <row r="70" spans="1:38" x14ac:dyDescent="0.25">
      <c r="A70" s="44" t="s">
        <v>332</v>
      </c>
      <c r="B70" s="44" t="s">
        <v>337</v>
      </c>
      <c r="C70" s="44" t="s">
        <v>338</v>
      </c>
      <c r="D70" s="44">
        <v>10</v>
      </c>
      <c r="E70" s="219">
        <v>0.62964517582490009</v>
      </c>
      <c r="F70" s="219">
        <v>0.63222760306282011</v>
      </c>
      <c r="G70" s="219">
        <v>0.62754016930368783</v>
      </c>
      <c r="H70" s="219">
        <v>0.63284631387981827</v>
      </c>
      <c r="I70" s="219">
        <v>0.63084502107684293</v>
      </c>
      <c r="J70" s="219">
        <v>2.1667999044778457</v>
      </c>
      <c r="K70" s="219">
        <v>1.7509529035079612</v>
      </c>
      <c r="L70" s="219">
        <v>2.1789990860221873</v>
      </c>
      <c r="M70" s="219">
        <v>1.7511138991194217</v>
      </c>
      <c r="N70" s="219">
        <v>1.913642892437694</v>
      </c>
      <c r="O70" s="219">
        <v>1.684438882155221</v>
      </c>
      <c r="P70" s="219">
        <v>1.6832199362532811</v>
      </c>
      <c r="Q70" s="219">
        <v>1.6915021831009034</v>
      </c>
      <c r="R70" s="219">
        <v>1.6835375449553289</v>
      </c>
      <c r="S70" s="219">
        <v>1.686067097971272</v>
      </c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I70" s="206"/>
      <c r="AJ70" s="206"/>
      <c r="AK70" s="206"/>
      <c r="AL70" s="206"/>
    </row>
    <row r="71" spans="1:38" x14ac:dyDescent="0.25">
      <c r="A71" s="44" t="s">
        <v>332</v>
      </c>
      <c r="B71" s="44" t="s">
        <v>337</v>
      </c>
      <c r="C71" s="44" t="s">
        <v>338</v>
      </c>
      <c r="D71" s="44">
        <v>15</v>
      </c>
      <c r="E71" s="219">
        <v>0.46160462304571265</v>
      </c>
      <c r="F71" s="219">
        <v>0.46423181446225559</v>
      </c>
      <c r="G71" s="219">
        <v>0.45971537358448011</v>
      </c>
      <c r="H71" s="219">
        <v>0.46470342982720075</v>
      </c>
      <c r="I71" s="219">
        <v>0.46283608659188841</v>
      </c>
      <c r="J71" s="219">
        <v>1.5673981790675215</v>
      </c>
      <c r="K71" s="219">
        <v>1.1998817731968037</v>
      </c>
      <c r="L71" s="219">
        <v>1.5757128110397398</v>
      </c>
      <c r="M71" s="219">
        <v>1.1999951361758212</v>
      </c>
      <c r="N71" s="219">
        <v>1.3428676610677988</v>
      </c>
      <c r="O71" s="219">
        <v>1.2120943703347362</v>
      </c>
      <c r="P71" s="219">
        <v>1.2118151117056175</v>
      </c>
      <c r="Q71" s="219">
        <v>1.2281930349740504</v>
      </c>
      <c r="R71" s="219">
        <v>1.2120512164849042</v>
      </c>
      <c r="S71" s="219">
        <v>1.2171363235963324</v>
      </c>
    </row>
    <row r="72" spans="1:38" x14ac:dyDescent="0.25">
      <c r="A72" s="44" t="s">
        <v>332</v>
      </c>
      <c r="B72" s="44" t="s">
        <v>337</v>
      </c>
      <c r="C72" s="44" t="s">
        <v>338</v>
      </c>
      <c r="D72" s="44">
        <v>20</v>
      </c>
      <c r="E72" s="219">
        <v>0.35722521334201129</v>
      </c>
      <c r="F72" s="219">
        <v>0.37717356786722844</v>
      </c>
      <c r="G72" s="219">
        <v>0.35864590661044965</v>
      </c>
      <c r="H72" s="219">
        <v>0.37756894427401561</v>
      </c>
      <c r="I72" s="219">
        <v>0.37018300375775876</v>
      </c>
      <c r="J72" s="219">
        <v>1.2496050259129188</v>
      </c>
      <c r="K72" s="219">
        <v>0.98471442459660208</v>
      </c>
      <c r="L72" s="219">
        <v>1.2622053505394508</v>
      </c>
      <c r="M72" s="219">
        <v>0.98481258653004566</v>
      </c>
      <c r="N72" s="219">
        <v>1.0898777013149539</v>
      </c>
      <c r="O72" s="219">
        <v>0.95918918950281451</v>
      </c>
      <c r="P72" s="219">
        <v>0.95845493784212021</v>
      </c>
      <c r="Q72" s="219">
        <v>0.98902287195842276</v>
      </c>
      <c r="R72" s="219">
        <v>0.95864880842671008</v>
      </c>
      <c r="S72" s="219">
        <v>0.96829188840817493</v>
      </c>
    </row>
    <row r="73" spans="1:38" x14ac:dyDescent="0.25">
      <c r="A73" s="44" t="s">
        <v>332</v>
      </c>
      <c r="B73" s="44" t="s">
        <v>337</v>
      </c>
      <c r="C73" s="44" t="s">
        <v>338</v>
      </c>
      <c r="D73" s="44">
        <v>25</v>
      </c>
      <c r="E73" s="219">
        <v>0.29981022147024633</v>
      </c>
      <c r="F73" s="219">
        <v>0.31863549158360022</v>
      </c>
      <c r="G73" s="219">
        <v>0.30242801214054937</v>
      </c>
      <c r="H73" s="219">
        <v>0.31897825567275223</v>
      </c>
      <c r="I73" s="219">
        <v>0.31243061859789406</v>
      </c>
      <c r="J73" s="219">
        <v>1.0269180124786943</v>
      </c>
      <c r="K73" s="219">
        <v>0.849289414315471</v>
      </c>
      <c r="L73" s="219">
        <v>1.0456673844094002</v>
      </c>
      <c r="M73" s="219">
        <v>0.84937826358944135</v>
      </c>
      <c r="N73" s="219">
        <v>0.92308923479822491</v>
      </c>
      <c r="O73" s="219">
        <v>0.80231109424265101</v>
      </c>
      <c r="P73" s="219">
        <v>0.80128376193856232</v>
      </c>
      <c r="Q73" s="219">
        <v>0.84093490264747073</v>
      </c>
      <c r="R73" s="219">
        <v>0.80145111734625618</v>
      </c>
      <c r="S73" s="219">
        <v>0.81401163298114043</v>
      </c>
    </row>
    <row r="74" spans="1:38" x14ac:dyDescent="0.25">
      <c r="A74" s="44" t="s">
        <v>332</v>
      </c>
      <c r="B74" s="44" t="s">
        <v>337</v>
      </c>
      <c r="C74" s="44" t="s">
        <v>338</v>
      </c>
      <c r="D74" s="44">
        <v>30</v>
      </c>
      <c r="E74" s="219">
        <v>0.26253130629435695</v>
      </c>
      <c r="F74" s="219">
        <v>0.27534396139298223</v>
      </c>
      <c r="G74" s="219">
        <v>0.26889868716325532</v>
      </c>
      <c r="H74" s="219">
        <v>0.2756561598903049</v>
      </c>
      <c r="I74" s="219">
        <v>0.27261135750672039</v>
      </c>
      <c r="J74" s="219">
        <v>0.90925631629775105</v>
      </c>
      <c r="K74" s="219">
        <v>0.76977296339751011</v>
      </c>
      <c r="L74" s="219">
        <v>0.92870953234760589</v>
      </c>
      <c r="M74" s="219">
        <v>0.76985649719059757</v>
      </c>
      <c r="N74" s="219">
        <v>0.82923227006847511</v>
      </c>
      <c r="O74" s="219">
        <v>0.70763420606688532</v>
      </c>
      <c r="P74" s="219">
        <v>0.70658640917519888</v>
      </c>
      <c r="Q74" s="219">
        <v>0.74647859910421976</v>
      </c>
      <c r="R74" s="219">
        <v>0.70673770667865421</v>
      </c>
      <c r="S74" s="219">
        <v>0.71938507484590342</v>
      </c>
    </row>
    <row r="75" spans="1:38" s="206" customFormat="1" x14ac:dyDescent="0.25">
      <c r="A75" s="205" t="s">
        <v>332</v>
      </c>
      <c r="B75" s="205" t="s">
        <v>337</v>
      </c>
      <c r="C75" s="205" t="s">
        <v>338</v>
      </c>
      <c r="D75" s="205">
        <v>35</v>
      </c>
      <c r="E75" s="220">
        <v>0.23611755755901273</v>
      </c>
      <c r="F75" s="220">
        <v>0.24417048681173334</v>
      </c>
      <c r="G75" s="220">
        <v>0.25011933107392975</v>
      </c>
      <c r="H75" s="220">
        <v>0.24377473640580738</v>
      </c>
      <c r="I75" s="220">
        <v>0.24536793067196902</v>
      </c>
      <c r="J75" s="220">
        <v>0.82135185657427345</v>
      </c>
      <c r="K75" s="220">
        <v>0.69297472449017361</v>
      </c>
      <c r="L75" s="220">
        <v>0.83959156845535488</v>
      </c>
      <c r="M75" s="220">
        <v>0.69304880095494126</v>
      </c>
      <c r="N75" s="220">
        <v>0.74780489853425214</v>
      </c>
      <c r="O75" s="220">
        <v>0.61847876552505399</v>
      </c>
      <c r="P75" s="220">
        <v>0.61735788041979034</v>
      </c>
      <c r="Q75" s="220">
        <v>0.65914478200602356</v>
      </c>
      <c r="R75" s="220">
        <v>0.61748876676861464</v>
      </c>
      <c r="S75" s="220">
        <v>0.63075382104439393</v>
      </c>
      <c r="U75" s="302"/>
      <c r="V75" s="302"/>
      <c r="W75" s="302"/>
      <c r="X75" s="302"/>
      <c r="Y75" s="302"/>
      <c r="Z75" s="302"/>
      <c r="AA75" s="302"/>
      <c r="AB75" s="302"/>
      <c r="AC75" s="302"/>
      <c r="AD75" s="302"/>
      <c r="AE75" s="302"/>
      <c r="AF75" s="302"/>
      <c r="AG75" s="302"/>
      <c r="AH75" s="302"/>
      <c r="AI75" s="302"/>
      <c r="AJ75" s="302"/>
      <c r="AK75" s="302"/>
      <c r="AL75" s="302"/>
    </row>
    <row r="76" spans="1:38" x14ac:dyDescent="0.25">
      <c r="A76" s="44" t="s">
        <v>332</v>
      </c>
      <c r="B76" s="44" t="s">
        <v>337</v>
      </c>
      <c r="C76" s="44" t="s">
        <v>338</v>
      </c>
      <c r="D76" s="44">
        <v>40</v>
      </c>
      <c r="E76" s="219">
        <v>0.21631162432535953</v>
      </c>
      <c r="F76" s="219">
        <v>0.22081072239722549</v>
      </c>
      <c r="G76" s="219">
        <v>0.23536736051733692</v>
      </c>
      <c r="H76" s="219">
        <v>0.21974654689863449</v>
      </c>
      <c r="I76" s="219">
        <v>0.22467598725190299</v>
      </c>
      <c r="J76" s="219">
        <v>0.75975515779573843</v>
      </c>
      <c r="K76" s="219">
        <v>0.6344557891597451</v>
      </c>
      <c r="L76" s="219">
        <v>0.77861088336367734</v>
      </c>
      <c r="M76" s="219">
        <v>0.63452367178987301</v>
      </c>
      <c r="N76" s="219">
        <v>0.6883039046403282</v>
      </c>
      <c r="O76" s="219">
        <v>0.55942375764162133</v>
      </c>
      <c r="P76" s="219">
        <v>0.558267582645809</v>
      </c>
      <c r="Q76" s="219">
        <v>0.60094571251655238</v>
      </c>
      <c r="R76" s="219">
        <v>0.5583885946554048</v>
      </c>
      <c r="S76" s="219">
        <v>0.57194440058103468</v>
      </c>
    </row>
    <row r="77" spans="1:38" x14ac:dyDescent="0.25">
      <c r="A77" s="44" t="s">
        <v>332</v>
      </c>
      <c r="B77" s="44" t="s">
        <v>337</v>
      </c>
      <c r="C77" s="44" t="s">
        <v>338</v>
      </c>
      <c r="D77" s="44">
        <v>45</v>
      </c>
      <c r="E77" s="219">
        <v>0.20089687654643221</v>
      </c>
      <c r="F77" s="219">
        <v>0.20265845635647786</v>
      </c>
      <c r="G77" s="219">
        <v>0.22300412922506255</v>
      </c>
      <c r="H77" s="219">
        <v>0.20161392598656616</v>
      </c>
      <c r="I77" s="219">
        <v>0.20854616381407878</v>
      </c>
      <c r="J77" s="219">
        <v>0.71175173891509114</v>
      </c>
      <c r="K77" s="219">
        <v>0.58902344985770894</v>
      </c>
      <c r="L77" s="219">
        <v>0.73125060960117094</v>
      </c>
      <c r="M77" s="219">
        <v>0.58908678820226223</v>
      </c>
      <c r="N77" s="219">
        <v>0.64209227037959138</v>
      </c>
      <c r="O77" s="219">
        <v>0.51320751272378329</v>
      </c>
      <c r="P77" s="219">
        <v>0.51199528069272371</v>
      </c>
      <c r="Q77" s="219">
        <v>0.55635927782937</v>
      </c>
      <c r="R77" s="219">
        <v>0.51210895025923542</v>
      </c>
      <c r="S77" s="219">
        <v>0.52620770640940262</v>
      </c>
    </row>
    <row r="78" spans="1:38" x14ac:dyDescent="0.25">
      <c r="A78" s="44" t="s">
        <v>332</v>
      </c>
      <c r="B78" s="44" t="s">
        <v>337</v>
      </c>
      <c r="C78" s="44" t="s">
        <v>338</v>
      </c>
      <c r="D78" s="44">
        <v>50</v>
      </c>
      <c r="E78" s="219">
        <v>0.18771254192781017</v>
      </c>
      <c r="F78" s="219">
        <v>0.18870095758727953</v>
      </c>
      <c r="G78" s="219">
        <v>0.2103190905415698</v>
      </c>
      <c r="H78" s="219">
        <v>0.18800444749673154</v>
      </c>
      <c r="I78" s="219">
        <v>0.19519506541895904</v>
      </c>
      <c r="J78" s="219">
        <v>0.67251676117711967</v>
      </c>
      <c r="K78" s="219">
        <v>0.61488191501084832</v>
      </c>
      <c r="L78" s="219">
        <v>0.69192506314729707</v>
      </c>
      <c r="M78" s="219">
        <v>0.61494619063519695</v>
      </c>
      <c r="N78" s="219">
        <v>0.64307349534814007</v>
      </c>
      <c r="O78" s="219">
        <v>0.47232705061496705</v>
      </c>
      <c r="P78" s="219">
        <v>0.47114786358483812</v>
      </c>
      <c r="Q78" s="219">
        <v>0.51419050349784856</v>
      </c>
      <c r="R78" s="219">
        <v>0.47125445854319248</v>
      </c>
      <c r="S78" s="219">
        <v>0.48493555580728265</v>
      </c>
    </row>
    <row r="79" spans="1:38" x14ac:dyDescent="0.25">
      <c r="A79" s="44" t="s">
        <v>332</v>
      </c>
      <c r="B79" s="44" t="s">
        <v>337</v>
      </c>
      <c r="C79" s="44" t="s">
        <v>338</v>
      </c>
      <c r="D79" s="44">
        <v>55</v>
      </c>
      <c r="E79" s="219">
        <v>0.17666773811760658</v>
      </c>
      <c r="F79" s="219">
        <v>0.17949694174836614</v>
      </c>
      <c r="G79" s="219">
        <v>0.19776456961223593</v>
      </c>
      <c r="H79" s="219">
        <v>0.17815507574941497</v>
      </c>
      <c r="I79" s="219">
        <v>0.18452580972783184</v>
      </c>
      <c r="J79" s="219">
        <v>0.64040258654633497</v>
      </c>
      <c r="K79" s="219">
        <v>0.63603840219780783</v>
      </c>
      <c r="L79" s="219">
        <v>0.65929935067785994</v>
      </c>
      <c r="M79" s="219">
        <v>0.63610464507071485</v>
      </c>
      <c r="N79" s="219">
        <v>0.64373279145218976</v>
      </c>
      <c r="O79" s="219">
        <v>0.43788803301342022</v>
      </c>
      <c r="P79" s="219">
        <v>0.43678966155454324</v>
      </c>
      <c r="Q79" s="219">
        <v>0.47692280412784421</v>
      </c>
      <c r="R79" s="219">
        <v>0.43689034864849946</v>
      </c>
      <c r="S79" s="219">
        <v>0.44964586646683136</v>
      </c>
    </row>
    <row r="80" spans="1:38" x14ac:dyDescent="0.25">
      <c r="A80" s="44" t="s">
        <v>332</v>
      </c>
      <c r="B80" s="44" t="s">
        <v>337</v>
      </c>
      <c r="C80" s="44" t="s">
        <v>338</v>
      </c>
      <c r="D80" s="44">
        <v>60</v>
      </c>
      <c r="E80" s="219">
        <v>0.16852774817982791</v>
      </c>
      <c r="F80" s="219">
        <v>0.17185788007111164</v>
      </c>
      <c r="G80" s="219">
        <v>0.18775879546743857</v>
      </c>
      <c r="H80" s="219">
        <v>0.17148531163348246</v>
      </c>
      <c r="I80" s="219">
        <v>0.17652857196173155</v>
      </c>
      <c r="J80" s="219">
        <v>0.60319530648492625</v>
      </c>
      <c r="K80" s="219">
        <v>0.60264616032662432</v>
      </c>
      <c r="L80" s="219">
        <v>0.62300610208550011</v>
      </c>
      <c r="M80" s="219">
        <v>0.60270915001208292</v>
      </c>
      <c r="N80" s="219">
        <v>0.60917294818871082</v>
      </c>
      <c r="O80" s="219">
        <v>0.40749154270907867</v>
      </c>
      <c r="P80" s="219">
        <v>0.4064664315364151</v>
      </c>
      <c r="Q80" s="219">
        <v>0.44394218117894652</v>
      </c>
      <c r="R80" s="219">
        <v>0.40656140241505245</v>
      </c>
      <c r="S80" s="219">
        <v>0.41847175328505748</v>
      </c>
    </row>
    <row r="81" spans="1:19" x14ac:dyDescent="0.25">
      <c r="A81" s="44" t="s">
        <v>332</v>
      </c>
      <c r="B81" s="44" t="s">
        <v>337</v>
      </c>
      <c r="C81" s="44" t="s">
        <v>338</v>
      </c>
      <c r="D81" s="44">
        <v>65</v>
      </c>
      <c r="E81" s="219">
        <v>0.16588514260719089</v>
      </c>
      <c r="F81" s="219">
        <v>0.16832365025320167</v>
      </c>
      <c r="G81" s="219">
        <v>0.18260181127692476</v>
      </c>
      <c r="H81" s="219">
        <v>0.16855679265289461</v>
      </c>
      <c r="I81" s="219">
        <v>0.17280227939635898</v>
      </c>
      <c r="J81" s="219">
        <v>0.57657228798305349</v>
      </c>
      <c r="K81" s="219">
        <v>0.57602958268873528</v>
      </c>
      <c r="L81" s="219">
        <v>0.59623626415820352</v>
      </c>
      <c r="M81" s="219">
        <v>0.57609439167789833</v>
      </c>
      <c r="N81" s="219">
        <v>0.58250809879328014</v>
      </c>
      <c r="O81" s="219">
        <v>0.38943347166795617</v>
      </c>
      <c r="P81" s="219">
        <v>0.3885127472337721</v>
      </c>
      <c r="Q81" s="219">
        <v>0.42244938402874338</v>
      </c>
      <c r="R81" s="219">
        <v>0.38860678278460492</v>
      </c>
      <c r="S81" s="219">
        <v>0.39938735629642691</v>
      </c>
    </row>
    <row r="82" spans="1:19" x14ac:dyDescent="0.25">
      <c r="A82" s="44" t="s">
        <v>332</v>
      </c>
      <c r="B82" s="44" t="s">
        <v>337</v>
      </c>
      <c r="C82" s="44" t="s">
        <v>338</v>
      </c>
      <c r="D82" s="44">
        <v>70</v>
      </c>
      <c r="E82" s="219">
        <v>0.17174340170209634</v>
      </c>
      <c r="F82" s="219">
        <v>0.17268768524432407</v>
      </c>
      <c r="G82" s="219">
        <v>0.18527258292159329</v>
      </c>
      <c r="H82" s="219">
        <v>0.17293341985102254</v>
      </c>
      <c r="I82" s="219">
        <v>0.17673028910836744</v>
      </c>
      <c r="J82" s="219">
        <v>0.55422282205955087</v>
      </c>
      <c r="K82" s="219">
        <v>0.55367852263153117</v>
      </c>
      <c r="L82" s="219">
        <v>0.57401798628780354</v>
      </c>
      <c r="M82" s="219">
        <v>0.55374555905292966</v>
      </c>
      <c r="N82" s="219">
        <v>0.56020027302973419</v>
      </c>
      <c r="O82" s="219">
        <v>0.3744677466755218</v>
      </c>
      <c r="P82" s="219">
        <v>0.37363311499994728</v>
      </c>
      <c r="Q82" s="219">
        <v>0.40463385277934555</v>
      </c>
      <c r="R82" s="219">
        <v>0.37372698290445183</v>
      </c>
      <c r="S82" s="219">
        <v>0.38357002993153599</v>
      </c>
    </row>
    <row r="83" spans="1:19" x14ac:dyDescent="0.25">
      <c r="A83" s="44" t="s">
        <v>332</v>
      </c>
      <c r="B83" s="44" t="s">
        <v>337</v>
      </c>
      <c r="C83" s="44" t="s">
        <v>338</v>
      </c>
      <c r="D83" s="44">
        <v>75</v>
      </c>
      <c r="E83" s="219">
        <v>0.18457393924155391</v>
      </c>
      <c r="F83" s="219">
        <v>0.18452227389607753</v>
      </c>
      <c r="G83" s="219">
        <v>0.19432217523807485</v>
      </c>
      <c r="H83" s="219">
        <v>0.18479112496905109</v>
      </c>
      <c r="I83" s="219">
        <v>0.18775484786466617</v>
      </c>
      <c r="J83" s="219">
        <v>0.52715261793883417</v>
      </c>
      <c r="K83" s="219">
        <v>0.52658962789090746</v>
      </c>
      <c r="L83" s="219">
        <v>0.54754752626087921</v>
      </c>
      <c r="M83" s="219">
        <v>0.52665512745275955</v>
      </c>
      <c r="N83" s="219">
        <v>0.53330824564549351</v>
      </c>
      <c r="O83" s="219">
        <v>0.35440886401968441</v>
      </c>
      <c r="P83" s="219">
        <v>0.35362871045030059</v>
      </c>
      <c r="Q83" s="219">
        <v>0.38269138317014628</v>
      </c>
      <c r="R83" s="219">
        <v>0.35371863220198352</v>
      </c>
      <c r="S83" s="219">
        <v>0.3629450977801979</v>
      </c>
    </row>
    <row r="85" spans="1:19" x14ac:dyDescent="0.25">
      <c r="E85" s="216">
        <v>2.9668512733272614</v>
      </c>
      <c r="F85" s="216">
        <v>2.9903929353377436</v>
      </c>
      <c r="G85" s="216">
        <v>3.0195921722264285</v>
      </c>
      <c r="H85" s="216">
        <v>3.0178135609967263</v>
      </c>
      <c r="I85" s="216">
        <v>3.0101843388309844</v>
      </c>
      <c r="J85" s="216">
        <v>64.165298839951674</v>
      </c>
      <c r="K85" s="216">
        <v>54.673842001227122</v>
      </c>
      <c r="L85" s="216">
        <v>64.425196869008531</v>
      </c>
      <c r="M85" s="216">
        <v>54.660675471602559</v>
      </c>
      <c r="N85" s="216">
        <v>58.373863446941975</v>
      </c>
      <c r="O85" s="216">
        <v>42.597738139399105</v>
      </c>
      <c r="P85" s="216">
        <v>42.245428844638937</v>
      </c>
      <c r="Q85" s="216">
        <v>42.403383235389519</v>
      </c>
      <c r="R85" s="216">
        <v>42.235080416636158</v>
      </c>
      <c r="S85" s="216">
        <v>42.313674877762992</v>
      </c>
    </row>
    <row r="86" spans="1:19" x14ac:dyDescent="0.25">
      <c r="E86" s="216">
        <v>2.0151724246143092</v>
      </c>
      <c r="F86" s="216">
        <v>1.9796149746360743</v>
      </c>
      <c r="G86" s="216">
        <v>1.9553989966965646</v>
      </c>
      <c r="H86" s="216">
        <v>1.9969700459321085</v>
      </c>
      <c r="I86" s="216">
        <v>1.981828574699863</v>
      </c>
      <c r="J86" s="216">
        <v>32.663783842452801</v>
      </c>
      <c r="K86" s="216">
        <v>27.601601304632627</v>
      </c>
      <c r="L86" s="216">
        <v>33.561234283163451</v>
      </c>
      <c r="M86" s="216">
        <v>27.594968864628157</v>
      </c>
      <c r="N86" s="216">
        <v>29.816060007953915</v>
      </c>
      <c r="O86" s="216">
        <v>21.392923294445112</v>
      </c>
      <c r="P86" s="216">
        <v>21.290027758664223</v>
      </c>
      <c r="Q86" s="216">
        <v>21.710687860865516</v>
      </c>
      <c r="R86" s="216">
        <v>21.284797768248882</v>
      </c>
      <c r="S86" s="216">
        <v>21.427895577001106</v>
      </c>
    </row>
    <row r="87" spans="1:19" x14ac:dyDescent="0.25">
      <c r="E87" s="216">
        <v>1.3871463772905395</v>
      </c>
      <c r="F87" s="216">
        <v>1.3892542302486015</v>
      </c>
      <c r="G87" s="216">
        <v>1.3067119149329918</v>
      </c>
      <c r="H87" s="216">
        <v>1.4001336549172614</v>
      </c>
      <c r="I87" s="216">
        <v>1.3676879865851528</v>
      </c>
      <c r="J87" s="216">
        <v>19.807586419488686</v>
      </c>
      <c r="K87" s="216">
        <v>15.455020127104607</v>
      </c>
      <c r="L87" s="216">
        <v>19.93149834571458</v>
      </c>
      <c r="M87" s="216">
        <v>15.451331491541941</v>
      </c>
      <c r="N87" s="216">
        <v>17.154298955431887</v>
      </c>
      <c r="O87" s="216">
        <v>12.867161177922426</v>
      </c>
      <c r="P87" s="216">
        <v>12.861278420257451</v>
      </c>
      <c r="Q87" s="216">
        <v>12.808265769886342</v>
      </c>
      <c r="R87" s="216">
        <v>12.858114561807664</v>
      </c>
      <c r="S87" s="216">
        <v>12.843437534892839</v>
      </c>
    </row>
    <row r="88" spans="1:19" x14ac:dyDescent="0.25">
      <c r="E88" s="216">
        <v>0.87552637647835385</v>
      </c>
      <c r="F88" s="216">
        <v>1.1169409834314157</v>
      </c>
      <c r="G88" s="216">
        <v>0.85140095186166798</v>
      </c>
      <c r="H88" s="216">
        <v>1.1243778846397448</v>
      </c>
      <c r="I88" s="216">
        <v>1.0203874230748191</v>
      </c>
      <c r="J88" s="216">
        <v>16.082859076643469</v>
      </c>
      <c r="K88" s="216">
        <v>11.669806559129963</v>
      </c>
      <c r="L88" s="216">
        <v>15.995976314459396</v>
      </c>
      <c r="M88" s="216">
        <v>11.666998770484918</v>
      </c>
      <c r="N88" s="216">
        <v>13.325637967581279</v>
      </c>
      <c r="O88" s="216">
        <v>10.863193840215024</v>
      </c>
      <c r="P88" s="216">
        <v>10.867719768570522</v>
      </c>
      <c r="Q88" s="216">
        <v>10.702325655259465</v>
      </c>
      <c r="R88" s="216">
        <v>10.865045401854799</v>
      </c>
      <c r="S88" s="216">
        <v>10.813746062707933</v>
      </c>
    </row>
    <row r="89" spans="1:19" x14ac:dyDescent="0.25">
      <c r="E89" s="216">
        <v>0.65036037632930555</v>
      </c>
      <c r="F89" s="216">
        <v>0.93200095638129976</v>
      </c>
      <c r="G89" s="216">
        <v>0.66230778089839637</v>
      </c>
      <c r="H89" s="216">
        <v>0.93697991829295291</v>
      </c>
      <c r="I89" s="216">
        <v>0.8304651063712869</v>
      </c>
      <c r="J89" s="216">
        <v>14.036610842992483</v>
      </c>
      <c r="K89" s="216">
        <v>10.71515679418316</v>
      </c>
      <c r="L89" s="216">
        <v>13.969742792196314</v>
      </c>
      <c r="M89" s="216">
        <v>10.71257869212997</v>
      </c>
      <c r="N89" s="216">
        <v>11.960734530718101</v>
      </c>
      <c r="O89" s="216">
        <v>9.5626678203524911</v>
      </c>
      <c r="P89" s="216">
        <v>9.5653782047593712</v>
      </c>
      <c r="Q89" s="216">
        <v>9.4634036107048196</v>
      </c>
      <c r="R89" s="216">
        <v>9.5630219893094726</v>
      </c>
      <c r="S89" s="216">
        <v>9.5317951472514739</v>
      </c>
    </row>
    <row r="90" spans="1:19" x14ac:dyDescent="0.25">
      <c r="E90" s="216">
        <v>0.60617019572880482</v>
      </c>
      <c r="F90" s="216">
        <v>0.80596823581880328</v>
      </c>
      <c r="G90" s="216">
        <v>0.62847827559182279</v>
      </c>
      <c r="H90" s="216">
        <v>0.80940226069651589</v>
      </c>
      <c r="I90" s="216">
        <v>0.7382863785508319</v>
      </c>
      <c r="J90" s="216">
        <v>12.572619731173091</v>
      </c>
      <c r="K90" s="216">
        <v>10.080428256208512</v>
      </c>
      <c r="L90" s="216">
        <v>12.623783760180961</v>
      </c>
      <c r="M90" s="216">
        <v>10.077998274220956</v>
      </c>
      <c r="N90" s="216">
        <v>11.046979455244905</v>
      </c>
      <c r="O90" s="216">
        <v>8.6655914777677765</v>
      </c>
      <c r="P90" s="216">
        <v>8.665788488362411</v>
      </c>
      <c r="Q90" s="216">
        <v>8.6491659027785861</v>
      </c>
      <c r="R90" s="216">
        <v>8.6636602830603273</v>
      </c>
      <c r="S90" s="216">
        <v>8.6595644988483542</v>
      </c>
    </row>
    <row r="91" spans="1:19" x14ac:dyDescent="0.25">
      <c r="E91" s="216">
        <v>0.58175248738682006</v>
      </c>
      <c r="F91" s="216">
        <v>0.67604612872658798</v>
      </c>
      <c r="G91" s="216">
        <v>0.61786255390265432</v>
      </c>
      <c r="H91" s="216">
        <v>0.67822834613519434</v>
      </c>
      <c r="I91" s="216">
        <v>0.65247218634789328</v>
      </c>
      <c r="J91" s="216">
        <v>12.046047962491489</v>
      </c>
      <c r="K91" s="216">
        <v>9.8364744986852077</v>
      </c>
      <c r="L91" s="216">
        <v>12.189851855726836</v>
      </c>
      <c r="M91" s="216">
        <v>9.8341132850834629</v>
      </c>
      <c r="N91" s="216">
        <v>10.724580005786041</v>
      </c>
      <c r="O91" s="216">
        <v>8.3467574034862206</v>
      </c>
      <c r="P91" s="216">
        <v>8.3448681687565234</v>
      </c>
      <c r="Q91" s="216">
        <v>8.3990127875074894</v>
      </c>
      <c r="R91" s="216">
        <v>8.3428120442010822</v>
      </c>
      <c r="S91" s="216">
        <v>8.3612769804446447</v>
      </c>
    </row>
    <row r="92" spans="1:19" x14ac:dyDescent="0.25">
      <c r="E92" s="216">
        <v>0.5899039800041147</v>
      </c>
      <c r="F92" s="216">
        <v>0.65541186774718219</v>
      </c>
      <c r="G92" s="216">
        <v>0.64307005134111661</v>
      </c>
      <c r="H92" s="216">
        <v>0.6304907288040309</v>
      </c>
      <c r="I92" s="216">
        <v>0.63634670338630639</v>
      </c>
      <c r="J92" s="216">
        <v>10.174122776928671</v>
      </c>
      <c r="K92" s="216">
        <v>8.7066504799511275</v>
      </c>
      <c r="L92" s="216">
        <v>10.608958306638471</v>
      </c>
      <c r="M92" s="216">
        <v>8.7045560348640443</v>
      </c>
      <c r="N92" s="216">
        <v>9.4039781869017851</v>
      </c>
      <c r="O92" s="216">
        <v>7.2237256714498699</v>
      </c>
      <c r="P92" s="216">
        <v>7.2167518770801156</v>
      </c>
      <c r="Q92" s="216">
        <v>7.4446458368024171</v>
      </c>
      <c r="R92" s="216">
        <v>7.2149760769646036</v>
      </c>
      <c r="S92" s="216">
        <v>7.2887722512199566</v>
      </c>
    </row>
    <row r="93" spans="1:19" x14ac:dyDescent="0.25">
      <c r="E93" s="216">
        <v>0.59757347256734505</v>
      </c>
      <c r="F93" s="216">
        <v>0.6584046635879599</v>
      </c>
      <c r="G93" s="216">
        <v>0.66039169927677288</v>
      </c>
      <c r="H93" s="216">
        <v>0.60284238963507453</v>
      </c>
      <c r="I93" s="216">
        <v>0.6307416366672195</v>
      </c>
      <c r="J93" s="216">
        <v>9.6769935750119114</v>
      </c>
      <c r="K93" s="216">
        <v>8.3631890352932423</v>
      </c>
      <c r="L93" s="216">
        <v>10.290860936035834</v>
      </c>
      <c r="M93" s="216">
        <v>8.3611686000879537</v>
      </c>
      <c r="N93" s="216">
        <v>9.0587266322276125</v>
      </c>
      <c r="O93" s="216">
        <v>6.9495322576401781</v>
      </c>
      <c r="P93" s="216">
        <v>6.9400399660990688</v>
      </c>
      <c r="Q93" s="216">
        <v>7.2533097943063902</v>
      </c>
      <c r="R93" s="216">
        <v>6.9383224482334542</v>
      </c>
      <c r="S93" s="216">
        <v>7.0393527922634238</v>
      </c>
    </row>
    <row r="94" spans="1:19" x14ac:dyDescent="0.25">
      <c r="E94" s="216">
        <v>0.60241676228856389</v>
      </c>
      <c r="F94" s="216">
        <v>0.66149100162225249</v>
      </c>
      <c r="G94" s="216">
        <v>0.668088248425043</v>
      </c>
      <c r="H94" s="216">
        <v>0.59219632405107558</v>
      </c>
      <c r="I94" s="216">
        <v>0.62937778323898097</v>
      </c>
      <c r="J94" s="216">
        <v>9.2816458473584937</v>
      </c>
      <c r="K94" s="216">
        <v>8.0969979794472273</v>
      </c>
      <c r="L94" s="216">
        <v>10.026566616068694</v>
      </c>
      <c r="M94" s="216">
        <v>8.0950442122198343</v>
      </c>
      <c r="N94" s="216">
        <v>8.7848670580265598</v>
      </c>
      <c r="O94" s="216">
        <v>6.7334229133473134</v>
      </c>
      <c r="P94" s="216">
        <v>6.7221843062422355</v>
      </c>
      <c r="Q94" s="216">
        <v>7.0948351251606381</v>
      </c>
      <c r="R94" s="216">
        <v>6.7205199183502851</v>
      </c>
      <c r="S94" s="216">
        <v>6.8404848935523104</v>
      </c>
    </row>
    <row r="95" spans="1:19" x14ac:dyDescent="0.25">
      <c r="E95" s="216">
        <v>0.6017217242582249</v>
      </c>
      <c r="F95" s="216">
        <v>0.66233364633725345</v>
      </c>
      <c r="G95" s="216">
        <v>0.66590140483948645</v>
      </c>
      <c r="H95" s="216">
        <v>0.60875802375004417</v>
      </c>
      <c r="I95" s="216">
        <v>0.63605844557915303</v>
      </c>
      <c r="J95" s="216">
        <v>8.8966048129006641</v>
      </c>
      <c r="K95" s="216">
        <v>8.3277904066667023</v>
      </c>
      <c r="L95" s="216">
        <v>9.7393582740817575</v>
      </c>
      <c r="M95" s="216">
        <v>8.3257858147842025</v>
      </c>
      <c r="N95" s="216">
        <v>8.8116075548055726</v>
      </c>
      <c r="O95" s="216">
        <v>6.4567985537934618</v>
      </c>
      <c r="P95" s="216">
        <v>6.4440386927208007</v>
      </c>
      <c r="Q95" s="216">
        <v>6.8683930698116953</v>
      </c>
      <c r="R95" s="216">
        <v>6.4424412660772115</v>
      </c>
      <c r="S95" s="216">
        <v>6.5788812031048618</v>
      </c>
    </row>
    <row r="96" spans="1:19" x14ac:dyDescent="0.25">
      <c r="E96" s="216">
        <v>0.60010008994182396</v>
      </c>
      <c r="F96" s="216">
        <v>0.65172518120870837</v>
      </c>
      <c r="G96" s="216">
        <v>0.66118621649861953</v>
      </c>
      <c r="H96" s="216">
        <v>0.62144140422117111</v>
      </c>
      <c r="I96" s="216">
        <v>0.63812060296035289</v>
      </c>
      <c r="J96" s="216">
        <v>8.5810781749313545</v>
      </c>
      <c r="K96" s="216">
        <v>8.516624387541043</v>
      </c>
      <c r="L96" s="216">
        <v>9.4872606283561769</v>
      </c>
      <c r="M96" s="216">
        <v>8.5145678446586412</v>
      </c>
      <c r="N96" s="216">
        <v>8.8280204009977492</v>
      </c>
      <c r="O96" s="216">
        <v>6.1906458998537586</v>
      </c>
      <c r="P96" s="216">
        <v>6.1767693062593407</v>
      </c>
      <c r="Q96" s="216">
        <v>6.6391569062765328</v>
      </c>
      <c r="R96" s="216">
        <v>6.175236630986916</v>
      </c>
      <c r="S96" s="216">
        <v>6.3237867830533636</v>
      </c>
    </row>
    <row r="97" spans="5:19" x14ac:dyDescent="0.25">
      <c r="E97" s="216">
        <v>0.60533898606197545</v>
      </c>
      <c r="F97" s="216">
        <v>0.63928275294872217</v>
      </c>
      <c r="G97" s="216">
        <v>0.66043799857740781</v>
      </c>
      <c r="H97" s="216">
        <v>0.62767103460680351</v>
      </c>
      <c r="I97" s="216">
        <v>0.63872172245429315</v>
      </c>
      <c r="J97" s="216">
        <v>8.4553644369917649</v>
      </c>
      <c r="K97" s="216">
        <v>8.4269113644624376</v>
      </c>
      <c r="L97" s="216">
        <v>9.3797570825655647</v>
      </c>
      <c r="M97" s="216">
        <v>8.4248840978151733</v>
      </c>
      <c r="N97" s="216">
        <v>8.7303586318600139</v>
      </c>
      <c r="O97" s="216">
        <v>6.040293871524379</v>
      </c>
      <c r="P97" s="216">
        <v>6.0261459439334892</v>
      </c>
      <c r="Q97" s="216">
        <v>6.4976563135786263</v>
      </c>
      <c r="R97" s="216">
        <v>6.0246518613978566</v>
      </c>
      <c r="S97" s="216">
        <v>6.1760940828394215</v>
      </c>
    </row>
    <row r="98" spans="5:19" x14ac:dyDescent="0.25">
      <c r="E98" s="216">
        <v>0.63399442741620171</v>
      </c>
      <c r="F98" s="216">
        <v>0.64162501142412287</v>
      </c>
      <c r="G98" s="216">
        <v>0.68055907400593874</v>
      </c>
      <c r="H98" s="216">
        <v>0.64291471072411899</v>
      </c>
      <c r="I98" s="216">
        <v>0.65406140410270452</v>
      </c>
      <c r="J98" s="216">
        <v>9.3224731275917101</v>
      </c>
      <c r="K98" s="216">
        <v>9.2971504911936957</v>
      </c>
      <c r="L98" s="216">
        <v>10.143289762551307</v>
      </c>
      <c r="M98" s="216">
        <v>9.2949083009647069</v>
      </c>
      <c r="N98" s="216">
        <v>9.5664252350808923</v>
      </c>
      <c r="O98" s="216">
        <v>6.32151430216659</v>
      </c>
      <c r="P98" s="216">
        <v>6.3088808998781127</v>
      </c>
      <c r="Q98" s="216">
        <v>6.7291602675392674</v>
      </c>
      <c r="R98" s="216">
        <v>6.3073181559156613</v>
      </c>
      <c r="S98" s="216">
        <v>6.4424368099757441</v>
      </c>
    </row>
    <row r="99" spans="5:19" x14ac:dyDescent="0.25">
      <c r="E99" s="216">
        <v>0.68207102106123563</v>
      </c>
      <c r="F99" s="216">
        <v>0.68381559100361833</v>
      </c>
      <c r="G99" s="216">
        <v>0.71817550615576131</v>
      </c>
      <c r="H99" s="216">
        <v>0.68521374303320448</v>
      </c>
      <c r="I99" s="216">
        <v>0.69522563914501934</v>
      </c>
      <c r="J99" s="216">
        <v>10.143534666772315</v>
      </c>
      <c r="K99" s="216">
        <v>10.121069773166242</v>
      </c>
      <c r="L99" s="216">
        <v>10.86992247436215</v>
      </c>
      <c r="M99" s="216">
        <v>10.11863367944397</v>
      </c>
      <c r="N99" s="216">
        <v>10.359189279657352</v>
      </c>
      <c r="O99" s="216">
        <v>6.5723738417733273</v>
      </c>
      <c r="P99" s="216">
        <v>6.5611509926600755</v>
      </c>
      <c r="Q99" s="216">
        <v>6.9332644648956778</v>
      </c>
      <c r="R99" s="216">
        <v>6.5595276953602957</v>
      </c>
      <c r="S99" s="216">
        <v>6.6792980000047182</v>
      </c>
    </row>
    <row r="100" spans="5:19" x14ac:dyDescent="0.25">
      <c r="E100" s="216">
        <v>0.74006198234755538</v>
      </c>
      <c r="F100" s="216">
        <v>0.74088666058465591</v>
      </c>
      <c r="G100" s="216">
        <v>0.76461309899378216</v>
      </c>
      <c r="H100" s="216">
        <v>0.74241679910747294</v>
      </c>
      <c r="I100" s="216">
        <v>0.74903784360266057</v>
      </c>
      <c r="J100" s="216">
        <v>10.245764478002771</v>
      </c>
      <c r="K100" s="216">
        <v>10.224063016321645</v>
      </c>
      <c r="L100" s="216">
        <v>10.947272100447934</v>
      </c>
      <c r="M100" s="216">
        <v>10.221591234465977</v>
      </c>
      <c r="N100" s="216">
        <v>10.453976515664445</v>
      </c>
      <c r="O100" s="216">
        <v>6.3843963525366547</v>
      </c>
      <c r="P100" s="216">
        <v>6.3730049672838716</v>
      </c>
      <c r="Q100" s="216">
        <v>6.7510248203168839</v>
      </c>
      <c r="R100" s="216">
        <v>6.3714352522237778</v>
      </c>
      <c r="S100" s="216">
        <v>6.4930614744920172</v>
      </c>
    </row>
    <row r="101" spans="5:19" x14ac:dyDescent="0.25">
      <c r="E101" s="216">
        <v>2.1442742824010534</v>
      </c>
      <c r="F101" s="216">
        <v>2.1456308890114788</v>
      </c>
      <c r="G101" s="216">
        <v>2.1614320677279846</v>
      </c>
      <c r="H101" s="216">
        <v>2.1476003246483004</v>
      </c>
      <c r="I101" s="216">
        <v>2.1514245797824083</v>
      </c>
      <c r="J101" s="216">
        <v>7.9649010544825991</v>
      </c>
      <c r="K101" s="216">
        <v>6.8429174412317701</v>
      </c>
      <c r="L101" s="216">
        <v>7.8863469194001716</v>
      </c>
      <c r="M101" s="216">
        <v>6.8435216229204761</v>
      </c>
      <c r="N101" s="216">
        <v>7.2465515759392636</v>
      </c>
      <c r="O101" s="216">
        <v>6.2832679053697493</v>
      </c>
      <c r="P101" s="216">
        <v>6.2436295767570238</v>
      </c>
      <c r="Q101" s="216">
        <v>6.210904656577048</v>
      </c>
      <c r="R101" s="216">
        <v>6.244796370868217</v>
      </c>
      <c r="S101" s="216">
        <v>6.2362994532232756</v>
      </c>
    </row>
    <row r="102" spans="5:19" x14ac:dyDescent="0.25">
      <c r="E102" s="216">
        <v>1.1348510936801528</v>
      </c>
      <c r="F102" s="216">
        <v>1.1365991682145864</v>
      </c>
      <c r="G102" s="216">
        <v>1.1401023727240898</v>
      </c>
      <c r="H102" s="216">
        <v>1.1376667747834937</v>
      </c>
      <c r="I102" s="216">
        <v>1.1380675671745297</v>
      </c>
      <c r="J102" s="216">
        <v>4.0104742321264615</v>
      </c>
      <c r="K102" s="216">
        <v>3.427418468620353</v>
      </c>
      <c r="L102" s="216">
        <v>4.0418297695636198</v>
      </c>
      <c r="M102" s="216">
        <v>3.427723198534566</v>
      </c>
      <c r="N102" s="216">
        <v>3.6600838177951642</v>
      </c>
      <c r="O102" s="216">
        <v>3.1539452095809697</v>
      </c>
      <c r="P102" s="216">
        <v>3.1400336945439999</v>
      </c>
      <c r="Q102" s="216">
        <v>3.170146512706173</v>
      </c>
      <c r="R102" s="216">
        <v>3.1406189811724032</v>
      </c>
      <c r="S102" s="216">
        <v>3.1507447419458563</v>
      </c>
    </row>
    <row r="103" spans="5:19" x14ac:dyDescent="0.25">
      <c r="E103" s="216">
        <v>0.62964517582490009</v>
      </c>
      <c r="F103" s="216">
        <v>0.63222760306282022</v>
      </c>
      <c r="G103" s="216">
        <v>0.62754016930368817</v>
      </c>
      <c r="H103" s="216">
        <v>0.63284631387981927</v>
      </c>
      <c r="I103" s="216">
        <v>0.63084502107684237</v>
      </c>
      <c r="J103" s="216">
        <v>2.1667999044778465</v>
      </c>
      <c r="K103" s="216">
        <v>1.7509529035079623</v>
      </c>
      <c r="L103" s="216">
        <v>2.1789990860221868</v>
      </c>
      <c r="M103" s="216">
        <v>1.7511138991194226</v>
      </c>
      <c r="N103" s="216">
        <v>1.9136428924376947</v>
      </c>
      <c r="O103" s="216">
        <v>1.684438882155221</v>
      </c>
      <c r="P103" s="216">
        <v>1.6832199362532803</v>
      </c>
      <c r="Q103" s="216">
        <v>1.6915021831009029</v>
      </c>
      <c r="R103" s="216">
        <v>1.6835375449553287</v>
      </c>
      <c r="S103" s="216">
        <v>1.6860670979712724</v>
      </c>
    </row>
    <row r="104" spans="5:19" x14ac:dyDescent="0.25">
      <c r="E104" s="216">
        <v>0.46160462304571248</v>
      </c>
      <c r="F104" s="216">
        <v>0.46423181446225542</v>
      </c>
      <c r="G104" s="216">
        <v>0.45971537358447989</v>
      </c>
      <c r="H104" s="216">
        <v>0.4647034298272002</v>
      </c>
      <c r="I104" s="216">
        <v>0.46283608659188796</v>
      </c>
      <c r="J104" s="216">
        <v>1.5673981790675231</v>
      </c>
      <c r="K104" s="216">
        <v>1.1998817731968037</v>
      </c>
      <c r="L104" s="216">
        <v>1.5757128110397391</v>
      </c>
      <c r="M104" s="216">
        <v>1.1999951361758212</v>
      </c>
      <c r="N104" s="216">
        <v>1.3428676610677961</v>
      </c>
      <c r="O104" s="216">
        <v>1.2120943703347367</v>
      </c>
      <c r="P104" s="216">
        <v>1.2118151117056182</v>
      </c>
      <c r="Q104" s="216">
        <v>1.2281930349740504</v>
      </c>
      <c r="R104" s="216">
        <v>1.2120512164849029</v>
      </c>
      <c r="S104" s="216">
        <v>1.2171363235963297</v>
      </c>
    </row>
    <row r="105" spans="5:19" x14ac:dyDescent="0.25">
      <c r="E105" s="216">
        <v>0.35722521334201107</v>
      </c>
      <c r="F105" s="216">
        <v>0.37717356786722833</v>
      </c>
      <c r="G105" s="216">
        <v>0.35864590661044959</v>
      </c>
      <c r="H105" s="216">
        <v>0.37756894427401533</v>
      </c>
      <c r="I105" s="216">
        <v>0.37018300375775925</v>
      </c>
      <c r="J105" s="216">
        <v>1.2496050259129177</v>
      </c>
      <c r="K105" s="216">
        <v>0.98471442459660163</v>
      </c>
      <c r="L105" s="216">
        <v>1.2622053505394515</v>
      </c>
      <c r="M105" s="216">
        <v>0.98481258653004622</v>
      </c>
      <c r="N105" s="216">
        <v>1.0898777013149543</v>
      </c>
      <c r="O105" s="216">
        <v>0.95918918950281362</v>
      </c>
      <c r="P105" s="216">
        <v>0.95845493784212032</v>
      </c>
      <c r="Q105" s="216">
        <v>0.98902287195842187</v>
      </c>
      <c r="R105" s="216">
        <v>0.95864880842671008</v>
      </c>
      <c r="S105" s="216">
        <v>0.96829188840817482</v>
      </c>
    </row>
    <row r="106" spans="5:19" x14ac:dyDescent="0.25">
      <c r="E106" s="216">
        <v>0.29981022147024627</v>
      </c>
      <c r="F106" s="216">
        <v>0.31863549158360016</v>
      </c>
      <c r="G106" s="216">
        <v>0.30242801214054932</v>
      </c>
      <c r="H106" s="216">
        <v>0.31897825567275179</v>
      </c>
      <c r="I106" s="216">
        <v>0.31243061859789395</v>
      </c>
      <c r="J106" s="216">
        <v>1.026918012478695</v>
      </c>
      <c r="K106" s="216">
        <v>0.84928941431546989</v>
      </c>
      <c r="L106" s="216">
        <v>1.0456673844094002</v>
      </c>
      <c r="M106" s="216">
        <v>0.84937826358944157</v>
      </c>
      <c r="N106" s="216">
        <v>0.92308923479822569</v>
      </c>
      <c r="O106" s="216">
        <v>0.80231109424265068</v>
      </c>
      <c r="P106" s="216">
        <v>0.8012837619385631</v>
      </c>
      <c r="Q106" s="216">
        <v>0.84093490264747117</v>
      </c>
      <c r="R106" s="216">
        <v>0.80145111734625696</v>
      </c>
      <c r="S106" s="216">
        <v>0.81401163298113788</v>
      </c>
    </row>
    <row r="107" spans="5:19" x14ac:dyDescent="0.25">
      <c r="E107" s="216">
        <v>0.26253130629435734</v>
      </c>
      <c r="F107" s="216">
        <v>0.27534396139298245</v>
      </c>
      <c r="G107" s="216">
        <v>0.26889868716325543</v>
      </c>
      <c r="H107" s="216">
        <v>0.2756561598903049</v>
      </c>
      <c r="I107" s="216">
        <v>0.27261135750672066</v>
      </c>
      <c r="J107" s="216">
        <v>0.90925631629775117</v>
      </c>
      <c r="K107" s="216">
        <v>0.76977296339750967</v>
      </c>
      <c r="L107" s="216">
        <v>0.92870953234760578</v>
      </c>
      <c r="M107" s="216">
        <v>0.7698564971905979</v>
      </c>
      <c r="N107" s="216">
        <v>0.82923227006847444</v>
      </c>
      <c r="O107" s="216">
        <v>0.70763420606688543</v>
      </c>
      <c r="P107" s="216">
        <v>0.7065864091751991</v>
      </c>
      <c r="Q107" s="216">
        <v>0.74647859910422032</v>
      </c>
      <c r="R107" s="216">
        <v>0.70673770667865443</v>
      </c>
      <c r="S107" s="216">
        <v>0.71938507484590597</v>
      </c>
    </row>
    <row r="108" spans="5:19" x14ac:dyDescent="0.25">
      <c r="E108" s="216">
        <v>0.23611755755901254</v>
      </c>
      <c r="F108" s="216">
        <v>0.24417048681173348</v>
      </c>
      <c r="G108" s="216">
        <v>0.25011933107392964</v>
      </c>
      <c r="H108" s="216">
        <v>0.24377473640580716</v>
      </c>
      <c r="I108" s="216">
        <v>0.24536793067196869</v>
      </c>
      <c r="J108" s="216">
        <v>0.82135185657427257</v>
      </c>
      <c r="K108" s="216">
        <v>0.69297472449017283</v>
      </c>
      <c r="L108" s="216">
        <v>0.83959156845535554</v>
      </c>
      <c r="M108" s="216">
        <v>0.69304880095494137</v>
      </c>
      <c r="N108" s="216">
        <v>0.74780489853425292</v>
      </c>
      <c r="O108" s="216">
        <v>0.61847876552505388</v>
      </c>
      <c r="P108" s="216">
        <v>0.61735788041979067</v>
      </c>
      <c r="Q108" s="216">
        <v>0.65914478200602322</v>
      </c>
      <c r="R108" s="216">
        <v>0.61748876676861397</v>
      </c>
      <c r="S108" s="216">
        <v>0.63075382104439381</v>
      </c>
    </row>
    <row r="109" spans="5:19" x14ac:dyDescent="0.25">
      <c r="E109" s="216">
        <v>0.21631162432535939</v>
      </c>
      <c r="F109" s="216">
        <v>0.22081072239722563</v>
      </c>
      <c r="G109" s="216">
        <v>0.23536736051733709</v>
      </c>
      <c r="H109" s="216">
        <v>0.21974654689863443</v>
      </c>
      <c r="I109" s="216">
        <v>0.2246759872519028</v>
      </c>
      <c r="J109" s="216">
        <v>0.75975515779573843</v>
      </c>
      <c r="K109" s="216">
        <v>0.6344557891597451</v>
      </c>
      <c r="L109" s="216">
        <v>0.77861088336367812</v>
      </c>
      <c r="M109" s="216">
        <v>0.63452367178987279</v>
      </c>
      <c r="N109" s="216">
        <v>0.68830390464032698</v>
      </c>
      <c r="O109" s="216">
        <v>0.55942375764162144</v>
      </c>
      <c r="P109" s="216">
        <v>0.55826758264580889</v>
      </c>
      <c r="Q109" s="216">
        <v>0.60094571251655227</v>
      </c>
      <c r="R109" s="216">
        <v>0.5583885946554048</v>
      </c>
      <c r="S109" s="216">
        <v>0.57194440058103702</v>
      </c>
    </row>
    <row r="110" spans="5:19" x14ac:dyDescent="0.25">
      <c r="E110" s="216">
        <v>0.20089687654643226</v>
      </c>
      <c r="F110" s="216">
        <v>0.20265845635647767</v>
      </c>
      <c r="G110" s="216">
        <v>0.22300412922506252</v>
      </c>
      <c r="H110" s="216">
        <v>0.20161392598656613</v>
      </c>
      <c r="I110" s="216">
        <v>0.20854616381407845</v>
      </c>
      <c r="J110" s="216">
        <v>0.71175173891509114</v>
      </c>
      <c r="K110" s="216">
        <v>0.58902344985770927</v>
      </c>
      <c r="L110" s="216">
        <v>0.73125060960117028</v>
      </c>
      <c r="M110" s="216">
        <v>0.58908678820226223</v>
      </c>
      <c r="N110" s="216">
        <v>0.64209227037959049</v>
      </c>
      <c r="O110" s="216">
        <v>0.51320751272378307</v>
      </c>
      <c r="P110" s="216">
        <v>0.51199528069272437</v>
      </c>
      <c r="Q110" s="216">
        <v>0.55635927782937011</v>
      </c>
      <c r="R110" s="216">
        <v>0.51210895025923531</v>
      </c>
      <c r="S110" s="216">
        <v>0.52620770640940306</v>
      </c>
    </row>
    <row r="111" spans="5:19" x14ac:dyDescent="0.25">
      <c r="E111" s="216">
        <v>0.18771254192781031</v>
      </c>
      <c r="F111" s="216">
        <v>0.18870095758727964</v>
      </c>
      <c r="G111" s="216">
        <v>0.21031909054156972</v>
      </c>
      <c r="H111" s="216">
        <v>0.18800444749673151</v>
      </c>
      <c r="I111" s="216">
        <v>0.19519506541895912</v>
      </c>
      <c r="J111" s="216">
        <v>0.67251676117712045</v>
      </c>
      <c r="K111" s="216">
        <v>0.61488191501084899</v>
      </c>
      <c r="L111" s="216">
        <v>0.69192506314729774</v>
      </c>
      <c r="M111" s="216">
        <v>0.61494619063519673</v>
      </c>
      <c r="N111" s="216">
        <v>0.64307349534814118</v>
      </c>
      <c r="O111" s="216">
        <v>0.47232705061496638</v>
      </c>
      <c r="P111" s="216">
        <v>0.47114786358483818</v>
      </c>
      <c r="Q111" s="216">
        <v>0.51419050349784823</v>
      </c>
      <c r="R111" s="216">
        <v>0.47125445854319287</v>
      </c>
      <c r="S111" s="216">
        <v>0.48493555580728237</v>
      </c>
    </row>
    <row r="112" spans="5:19" x14ac:dyDescent="0.25">
      <c r="E112" s="216">
        <v>0.17666773811760647</v>
      </c>
      <c r="F112" s="216">
        <v>0.17949694174836617</v>
      </c>
      <c r="G112" s="216">
        <v>0.19776456961223593</v>
      </c>
      <c r="H112" s="216">
        <v>0.17815507574941497</v>
      </c>
      <c r="I112" s="216">
        <v>0.18452580972783209</v>
      </c>
      <c r="J112" s="216">
        <v>0.64040258654633564</v>
      </c>
      <c r="K112" s="216">
        <v>0.6360384021978075</v>
      </c>
      <c r="L112" s="216">
        <v>0.65929935067786005</v>
      </c>
      <c r="M112" s="216">
        <v>0.63610464507071485</v>
      </c>
      <c r="N112" s="216">
        <v>0.64373279145218998</v>
      </c>
      <c r="O112" s="216">
        <v>0.43788803301342</v>
      </c>
      <c r="P112" s="216">
        <v>0.43678966155454324</v>
      </c>
      <c r="Q112" s="216">
        <v>0.47692280412784355</v>
      </c>
      <c r="R112" s="216">
        <v>0.43689034864849918</v>
      </c>
      <c r="S112" s="216">
        <v>0.44964586646683147</v>
      </c>
    </row>
    <row r="113" spans="5:19" x14ac:dyDescent="0.25">
      <c r="E113" s="216">
        <v>0.16852774817982796</v>
      </c>
      <c r="F113" s="216">
        <v>0.17185788007111152</v>
      </c>
      <c r="G113" s="216">
        <v>0.18775879546743859</v>
      </c>
      <c r="H113" s="216">
        <v>0.17148531163348246</v>
      </c>
      <c r="I113" s="216">
        <v>0.1765285719617308</v>
      </c>
      <c r="J113" s="216">
        <v>0.60319530648492614</v>
      </c>
      <c r="K113" s="216">
        <v>0.60264616032662455</v>
      </c>
      <c r="L113" s="216">
        <v>0.62300610208549956</v>
      </c>
      <c r="M113" s="216">
        <v>0.60270915001208247</v>
      </c>
      <c r="N113" s="216">
        <v>0.60917294818870982</v>
      </c>
      <c r="O113" s="216">
        <v>0.40749154270907895</v>
      </c>
      <c r="P113" s="216">
        <v>0.4064664315364151</v>
      </c>
      <c r="Q113" s="216">
        <v>0.44394218117894652</v>
      </c>
      <c r="R113" s="216">
        <v>0.40656140241505256</v>
      </c>
      <c r="S113" s="216">
        <v>0.41847175328505626</v>
      </c>
    </row>
    <row r="114" spans="5:19" x14ac:dyDescent="0.25">
      <c r="E114" s="216">
        <v>0.16588514260719081</v>
      </c>
      <c r="F114" s="216">
        <v>0.16832365025320173</v>
      </c>
      <c r="G114" s="216">
        <v>0.18260181127692482</v>
      </c>
      <c r="H114" s="216">
        <v>0.16855679265289469</v>
      </c>
      <c r="I114" s="216">
        <v>0.172802279396359</v>
      </c>
      <c r="J114" s="216">
        <v>0.57657228798305438</v>
      </c>
      <c r="K114" s="216">
        <v>0.57602958268873583</v>
      </c>
      <c r="L114" s="216">
        <v>0.59623626415820297</v>
      </c>
      <c r="M114" s="216">
        <v>0.57609439167789844</v>
      </c>
      <c r="N114" s="216">
        <v>0.58250809879328125</v>
      </c>
      <c r="O114" s="216">
        <v>0.38943347166795583</v>
      </c>
      <c r="P114" s="216">
        <v>0.38851274723377244</v>
      </c>
      <c r="Q114" s="216">
        <v>0.42244938402874344</v>
      </c>
      <c r="R114" s="216">
        <v>0.38860678278460442</v>
      </c>
      <c r="S114" s="216">
        <v>0.39938735629642713</v>
      </c>
    </row>
    <row r="115" spans="5:19" x14ac:dyDescent="0.25">
      <c r="E115" s="216">
        <v>0.17174340170209648</v>
      </c>
      <c r="F115" s="216">
        <v>0.17268768524432407</v>
      </c>
      <c r="G115" s="216">
        <v>0.18527258292159313</v>
      </c>
      <c r="H115" s="216">
        <v>0.17293341985102284</v>
      </c>
      <c r="I115" s="216">
        <v>0.17673028910836719</v>
      </c>
      <c r="J115" s="216">
        <v>0.55422282205955076</v>
      </c>
      <c r="K115" s="216">
        <v>0.55367852263153128</v>
      </c>
      <c r="L115" s="216">
        <v>0.57401798628780409</v>
      </c>
      <c r="M115" s="216">
        <v>0.55374555905292944</v>
      </c>
      <c r="N115" s="216">
        <v>0.56020027302973419</v>
      </c>
      <c r="O115" s="216">
        <v>0.37446774667552168</v>
      </c>
      <c r="P115" s="216">
        <v>0.37363311499994706</v>
      </c>
      <c r="Q115" s="216">
        <v>0.40463385277934599</v>
      </c>
      <c r="R115" s="216">
        <v>0.37372698290445183</v>
      </c>
      <c r="S115" s="216">
        <v>0.38357002993153488</v>
      </c>
    </row>
    <row r="116" spans="5:19" x14ac:dyDescent="0.25">
      <c r="E116" s="216">
        <v>0.18457393924155402</v>
      </c>
      <c r="F116" s="216">
        <v>0.18452227389607764</v>
      </c>
      <c r="G116" s="216">
        <v>0.19432217523807482</v>
      </c>
      <c r="H116" s="216">
        <v>0.18479112496905092</v>
      </c>
      <c r="I116" s="216">
        <v>0.18775484786466606</v>
      </c>
      <c r="J116" s="216">
        <v>0.52715261793883372</v>
      </c>
      <c r="K116" s="216">
        <v>0.52658962789090757</v>
      </c>
      <c r="L116" s="216">
        <v>0.54754752626087944</v>
      </c>
      <c r="M116" s="216">
        <v>0.52665512745275944</v>
      </c>
      <c r="N116" s="216">
        <v>0.53330824564549328</v>
      </c>
      <c r="O116" s="216">
        <v>0.35440886401968502</v>
      </c>
      <c r="P116" s="216">
        <v>0.35362871045030075</v>
      </c>
      <c r="Q116" s="216">
        <v>0.38269138317014578</v>
      </c>
      <c r="R116" s="216">
        <v>0.35371863220198363</v>
      </c>
      <c r="S116" s="216">
        <v>0.36294509778019796</v>
      </c>
    </row>
    <row r="119" spans="5:19" x14ac:dyDescent="0.25">
      <c r="E119" s="218">
        <f>(E85-E52)/E52</f>
        <v>5.9873471089371621E-16</v>
      </c>
      <c r="F119" s="218">
        <f t="shared" ref="F119:R134" si="2">(F85-F52)/F52</f>
        <v>5.9402121320207863E-16</v>
      </c>
      <c r="G119" s="218">
        <f t="shared" si="2"/>
        <v>4.4120780342594104E-16</v>
      </c>
      <c r="H119" s="218">
        <f t="shared" si="2"/>
        <v>1.1772475691397953E-15</v>
      </c>
      <c r="I119" s="218">
        <f t="shared" si="2"/>
        <v>5.9011563394489855E-16</v>
      </c>
      <c r="J119" s="218">
        <f t="shared" si="2"/>
        <v>0</v>
      </c>
      <c r="K119" s="218">
        <f t="shared" si="2"/>
        <v>-2.5992054326240773E-16</v>
      </c>
      <c r="L119" s="218">
        <f t="shared" si="2"/>
        <v>4.4115828606922214E-16</v>
      </c>
      <c r="M119" s="218">
        <f t="shared" si="2"/>
        <v>0</v>
      </c>
      <c r="N119" s="218">
        <f t="shared" si="2"/>
        <v>1.0955047763205601E-15</v>
      </c>
      <c r="O119" s="218">
        <f t="shared" si="2"/>
        <v>-6.6721170352743319E-16</v>
      </c>
      <c r="P119" s="218">
        <f t="shared" si="2"/>
        <v>-1.6819399286327045E-16</v>
      </c>
      <c r="Q119" s="218">
        <f t="shared" si="2"/>
        <v>0</v>
      </c>
      <c r="R119" s="218">
        <f t="shared" si="2"/>
        <v>3.3647040741999944E-16</v>
      </c>
    </row>
    <row r="120" spans="5:19" x14ac:dyDescent="0.25">
      <c r="E120" s="218">
        <f t="shared" ref="E120:R135" si="3">(E86-E53)/E53</f>
        <v>4.407456200032695E-16</v>
      </c>
      <c r="F120" s="218">
        <f t="shared" si="3"/>
        <v>-1.1216555126627651E-16</v>
      </c>
      <c r="G120" s="218">
        <f t="shared" si="3"/>
        <v>0</v>
      </c>
      <c r="H120" s="218">
        <f t="shared" si="3"/>
        <v>2.2238150780212579E-16</v>
      </c>
      <c r="I120" s="218">
        <f t="shared" si="2"/>
        <v>-6.7224160886465754E-16</v>
      </c>
      <c r="J120" s="218">
        <f t="shared" si="2"/>
        <v>0</v>
      </c>
      <c r="K120" s="218">
        <f t="shared" si="2"/>
        <v>-3.8614212700089417E-16</v>
      </c>
      <c r="L120" s="218">
        <f t="shared" si="2"/>
        <v>0</v>
      </c>
      <c r="M120" s="218">
        <f t="shared" si="2"/>
        <v>-2.5748995740701467E-16</v>
      </c>
      <c r="N120" s="218">
        <f t="shared" si="2"/>
        <v>2.3830872877588509E-16</v>
      </c>
      <c r="O120" s="218">
        <f t="shared" si="2"/>
        <v>8.3034787483274942E-16</v>
      </c>
      <c r="P120" s="218">
        <f t="shared" si="3"/>
        <v>-8.3436097854655922E-16</v>
      </c>
      <c r="Q120" s="218">
        <f t="shared" si="3"/>
        <v>6.5455571036133371E-16</v>
      </c>
      <c r="R120" s="218">
        <f t="shared" si="3"/>
        <v>-5.0073959604636414E-16</v>
      </c>
    </row>
    <row r="121" spans="5:19" x14ac:dyDescent="0.25">
      <c r="E121" s="218">
        <f t="shared" si="3"/>
        <v>-1.6007294439880427E-16</v>
      </c>
      <c r="F121" s="218">
        <f t="shared" si="3"/>
        <v>0</v>
      </c>
      <c r="G121" s="218">
        <f t="shared" si="3"/>
        <v>0</v>
      </c>
      <c r="H121" s="218">
        <f t="shared" si="3"/>
        <v>-3.1717629834153599E-16</v>
      </c>
      <c r="I121" s="218">
        <f t="shared" si="2"/>
        <v>-1.1364523558885886E-15</v>
      </c>
      <c r="J121" s="218">
        <f t="shared" si="2"/>
        <v>1.7936126106232641E-16</v>
      </c>
      <c r="K121" s="218">
        <f t="shared" si="2"/>
        <v>-4.5974882589377461E-16</v>
      </c>
      <c r="L121" s="218">
        <f t="shared" si="2"/>
        <v>3.5649238378150954E-16</v>
      </c>
      <c r="M121" s="218">
        <f t="shared" si="2"/>
        <v>-2.2992928996088497E-16</v>
      </c>
      <c r="N121" s="218">
        <f t="shared" si="2"/>
        <v>-4.1420680472349317E-16</v>
      </c>
      <c r="O121" s="218">
        <f t="shared" si="2"/>
        <v>-6.9026757916428994E-16</v>
      </c>
      <c r="P121" s="218">
        <f t="shared" si="3"/>
        <v>-1.381166616066999E-16</v>
      </c>
      <c r="Q121" s="218">
        <f t="shared" si="3"/>
        <v>0</v>
      </c>
      <c r="R121" s="218">
        <f t="shared" si="3"/>
        <v>-1.3815064649342494E-16</v>
      </c>
    </row>
    <row r="122" spans="5:19" x14ac:dyDescent="0.25">
      <c r="E122" s="218">
        <f t="shared" si="3"/>
        <v>3.8041904428653349E-16</v>
      </c>
      <c r="F122" s="218">
        <f t="shared" si="3"/>
        <v>0</v>
      </c>
      <c r="G122" s="218">
        <f t="shared" si="3"/>
        <v>1.3039955172678042E-16</v>
      </c>
      <c r="H122" s="218">
        <f t="shared" si="3"/>
        <v>0</v>
      </c>
      <c r="I122" s="218">
        <f t="shared" si="2"/>
        <v>-1.3056488147762075E-15</v>
      </c>
      <c r="J122" s="218">
        <f t="shared" si="2"/>
        <v>-2.2090062854309109E-16</v>
      </c>
      <c r="K122" s="218">
        <f t="shared" si="2"/>
        <v>-3.0443638125440967E-16</v>
      </c>
      <c r="L122" s="218">
        <f t="shared" si="2"/>
        <v>-4.4420091765065452E-16</v>
      </c>
      <c r="M122" s="218">
        <f t="shared" si="2"/>
        <v>9.1352894142445567E-16</v>
      </c>
      <c r="N122" s="218">
        <f t="shared" si="2"/>
        <v>7.9982219705583507E-16</v>
      </c>
      <c r="O122" s="218">
        <f t="shared" si="2"/>
        <v>3.2704135920400556E-16</v>
      </c>
      <c r="P122" s="218">
        <f t="shared" si="3"/>
        <v>-6.538103216601071E-16</v>
      </c>
      <c r="Q122" s="218">
        <f t="shared" si="3"/>
        <v>-1.6597858228386946E-16</v>
      </c>
      <c r="R122" s="218">
        <f t="shared" si="3"/>
        <v>6.5397125320691445E-16</v>
      </c>
    </row>
    <row r="123" spans="5:19" x14ac:dyDescent="0.25">
      <c r="E123" s="218">
        <f t="shared" si="3"/>
        <v>0</v>
      </c>
      <c r="F123" s="218">
        <f t="shared" si="3"/>
        <v>9.5298015910699873E-16</v>
      </c>
      <c r="G123" s="218">
        <f t="shared" si="3"/>
        <v>1.6762947026217624E-16</v>
      </c>
      <c r="H123" s="218">
        <f t="shared" si="3"/>
        <v>-3.5546856542491159E-16</v>
      </c>
      <c r="I123" s="218">
        <f t="shared" si="2"/>
        <v>-2.1389903389945289E-15</v>
      </c>
      <c r="J123" s="218">
        <f t="shared" si="2"/>
        <v>1.2655169109337129E-16</v>
      </c>
      <c r="K123" s="218">
        <f t="shared" si="2"/>
        <v>3.3155965395943914E-16</v>
      </c>
      <c r="L123" s="218">
        <f t="shared" si="2"/>
        <v>0</v>
      </c>
      <c r="M123" s="218">
        <f t="shared" si="2"/>
        <v>-1.6581972375197173E-16</v>
      </c>
      <c r="N123" s="218">
        <f t="shared" si="2"/>
        <v>-2.9703139633074032E-16</v>
      </c>
      <c r="O123" s="218">
        <f t="shared" si="2"/>
        <v>-5.5727864005259494E-16</v>
      </c>
      <c r="P123" s="218">
        <f t="shared" si="3"/>
        <v>-3.7141382209360036E-16</v>
      </c>
      <c r="Q123" s="218">
        <f t="shared" si="3"/>
        <v>0</v>
      </c>
      <c r="R123" s="218">
        <f t="shared" si="3"/>
        <v>7.4301066812814854E-16</v>
      </c>
    </row>
    <row r="124" spans="5:19" x14ac:dyDescent="0.25">
      <c r="E124" s="218">
        <f t="shared" si="3"/>
        <v>0</v>
      </c>
      <c r="F124" s="218">
        <f t="shared" si="3"/>
        <v>-5.5100088330267881E-16</v>
      </c>
      <c r="G124" s="218">
        <f t="shared" si="3"/>
        <v>0</v>
      </c>
      <c r="H124" s="218">
        <f t="shared" si="3"/>
        <v>-2.7433158480920839E-16</v>
      </c>
      <c r="I124" s="218">
        <f t="shared" si="2"/>
        <v>-1.5037837035601147E-15</v>
      </c>
      <c r="J124" s="218">
        <f t="shared" si="2"/>
        <v>5.6515090009312104E-16</v>
      </c>
      <c r="K124" s="218">
        <f t="shared" si="2"/>
        <v>-3.5243678031361333E-16</v>
      </c>
      <c r="L124" s="218">
        <f t="shared" si="2"/>
        <v>1.4071508773806712E-16</v>
      </c>
      <c r="M124" s="218">
        <f t="shared" si="2"/>
        <v>7.0504351799467502E-16</v>
      </c>
      <c r="N124" s="218">
        <f t="shared" si="2"/>
        <v>-1.2864018415871073E-15</v>
      </c>
      <c r="O124" s="218">
        <f t="shared" si="2"/>
        <v>2.0498968177274769E-16</v>
      </c>
      <c r="P124" s="218">
        <f t="shared" si="3"/>
        <v>0</v>
      </c>
      <c r="Q124" s="218">
        <f t="shared" si="3"/>
        <v>-2.0537897635072381E-16</v>
      </c>
      <c r="R124" s="218">
        <f t="shared" si="3"/>
        <v>4.1007075101351408E-16</v>
      </c>
    </row>
    <row r="125" spans="5:19" x14ac:dyDescent="0.25">
      <c r="E125" s="218">
        <f t="shared" si="3"/>
        <v>1.9084113066919214E-16</v>
      </c>
      <c r="F125" s="218">
        <f t="shared" si="3"/>
        <v>3.2844593806531871E-16</v>
      </c>
      <c r="G125" s="218">
        <f t="shared" si="3"/>
        <v>0</v>
      </c>
      <c r="H125" s="218">
        <f t="shared" si="3"/>
        <v>8.1847288671406521E-16</v>
      </c>
      <c r="I125" s="218">
        <f t="shared" si="2"/>
        <v>-3.403127513647589E-16</v>
      </c>
      <c r="J125" s="218">
        <f t="shared" si="2"/>
        <v>-5.8985547622968112E-16</v>
      </c>
      <c r="K125" s="218">
        <f t="shared" si="2"/>
        <v>0</v>
      </c>
      <c r="L125" s="218">
        <f t="shared" si="2"/>
        <v>1.457242352429174E-16</v>
      </c>
      <c r="M125" s="218">
        <f t="shared" si="2"/>
        <v>0</v>
      </c>
      <c r="N125" s="218">
        <f t="shared" si="2"/>
        <v>-3.3126832723367884E-16</v>
      </c>
      <c r="O125" s="218">
        <f t="shared" si="2"/>
        <v>4.2563998293716162E-16</v>
      </c>
      <c r="P125" s="218">
        <f t="shared" si="3"/>
        <v>4.2573634561442035E-16</v>
      </c>
      <c r="Q125" s="218">
        <f t="shared" si="3"/>
        <v>4.2299181685789692E-16</v>
      </c>
      <c r="R125" s="218">
        <f t="shared" si="3"/>
        <v>4.2584127030284962E-16</v>
      </c>
    </row>
    <row r="126" spans="5:19" x14ac:dyDescent="0.25">
      <c r="E126" s="218">
        <f t="shared" si="3"/>
        <v>-5.6461207023085959E-16</v>
      </c>
      <c r="F126" s="218">
        <f t="shared" si="3"/>
        <v>-1.6939318301349596E-16</v>
      </c>
      <c r="G126" s="218">
        <f t="shared" si="3"/>
        <v>0</v>
      </c>
      <c r="H126" s="218">
        <f t="shared" si="3"/>
        <v>3.5217743065980479E-16</v>
      </c>
      <c r="I126" s="218">
        <f t="shared" si="2"/>
        <v>-6.9787304230044776E-16</v>
      </c>
      <c r="J126" s="218">
        <f t="shared" si="2"/>
        <v>-5.2378673179423432E-16</v>
      </c>
      <c r="K126" s="218">
        <f t="shared" si="2"/>
        <v>-2.0402298719704908E-16</v>
      </c>
      <c r="L126" s="218">
        <f t="shared" si="2"/>
        <v>1.6743932703446576E-16</v>
      </c>
      <c r="M126" s="218">
        <f t="shared" si="2"/>
        <v>6.1221623444738835E-16</v>
      </c>
      <c r="N126" s="218">
        <f t="shared" si="2"/>
        <v>-5.666825690454364E-16</v>
      </c>
      <c r="O126" s="218">
        <f t="shared" si="2"/>
        <v>-2.4590591063291561E-16</v>
      </c>
      <c r="P126" s="218">
        <f t="shared" si="3"/>
        <v>3.6921530689765694E-16</v>
      </c>
      <c r="Q126" s="218">
        <f t="shared" si="3"/>
        <v>0</v>
      </c>
      <c r="R126" s="218">
        <f t="shared" si="3"/>
        <v>4.9240824098410001E-16</v>
      </c>
    </row>
    <row r="127" spans="5:19" x14ac:dyDescent="0.25">
      <c r="E127" s="218">
        <f t="shared" si="3"/>
        <v>0</v>
      </c>
      <c r="F127" s="218">
        <f t="shared" si="3"/>
        <v>6.744928072501944E-16</v>
      </c>
      <c r="G127" s="218">
        <f t="shared" si="3"/>
        <v>-1.6811583577458888E-16</v>
      </c>
      <c r="H127" s="218">
        <f t="shared" si="3"/>
        <v>-1.8416472426519646E-16</v>
      </c>
      <c r="I127" s="218">
        <f t="shared" si="2"/>
        <v>1.7601866756275558E-16</v>
      </c>
      <c r="J127" s="218">
        <f t="shared" si="2"/>
        <v>1.8356494975745235E-16</v>
      </c>
      <c r="K127" s="218">
        <f t="shared" si="2"/>
        <v>4.2480370392296554E-16</v>
      </c>
      <c r="L127" s="218">
        <f t="shared" si="2"/>
        <v>0</v>
      </c>
      <c r="M127" s="218">
        <f t="shared" si="2"/>
        <v>2.1245317782272263E-16</v>
      </c>
      <c r="N127" s="218">
        <f t="shared" si="2"/>
        <v>1.9609343691646765E-16</v>
      </c>
      <c r="O127" s="218">
        <f t="shared" si="2"/>
        <v>-5.1121622968146037E-16</v>
      </c>
      <c r="P127" s="218">
        <f t="shared" si="3"/>
        <v>-1.2797886237524968E-16</v>
      </c>
      <c r="Q127" s="218">
        <f t="shared" si="3"/>
        <v>1.2245146628058217E-16</v>
      </c>
      <c r="R127" s="218">
        <f t="shared" si="3"/>
        <v>1.2801054236478471E-16</v>
      </c>
    </row>
    <row r="128" spans="5:19" x14ac:dyDescent="0.25">
      <c r="E128" s="218">
        <f t="shared" si="3"/>
        <v>-5.5288452818317208E-16</v>
      </c>
      <c r="F128" s="218">
        <f t="shared" si="3"/>
        <v>3.3567290315436669E-16</v>
      </c>
      <c r="G128" s="218">
        <f t="shared" si="3"/>
        <v>6.6471639172962954E-16</v>
      </c>
      <c r="H128" s="218">
        <f t="shared" si="3"/>
        <v>-3.7495100173212218E-16</v>
      </c>
      <c r="I128" s="218">
        <f t="shared" si="2"/>
        <v>5.2920029314266136E-16</v>
      </c>
      <c r="J128" s="218">
        <f t="shared" si="2"/>
        <v>3.827676402684105E-16</v>
      </c>
      <c r="K128" s="218">
        <f t="shared" si="2"/>
        <v>0</v>
      </c>
      <c r="L128" s="218">
        <f t="shared" si="2"/>
        <v>0</v>
      </c>
      <c r="M128" s="218">
        <f t="shared" si="2"/>
        <v>2.1943757104115133E-16</v>
      </c>
      <c r="N128" s="218">
        <f t="shared" si="2"/>
        <v>4.044129131760119E-16</v>
      </c>
      <c r="O128" s="218">
        <f t="shared" si="2"/>
        <v>6.5952965611259616E-16</v>
      </c>
      <c r="P128" s="218">
        <f t="shared" si="3"/>
        <v>-5.2850584229019745E-16</v>
      </c>
      <c r="Q128" s="218">
        <f t="shared" si="3"/>
        <v>0</v>
      </c>
      <c r="R128" s="218">
        <f t="shared" si="3"/>
        <v>1.3215918269581595E-16</v>
      </c>
    </row>
    <row r="129" spans="5:18" x14ac:dyDescent="0.25">
      <c r="E129" s="218">
        <f t="shared" si="3"/>
        <v>-1.8450771841315662E-16</v>
      </c>
      <c r="F129" s="218">
        <f t="shared" si="3"/>
        <v>3.3524584799964786E-16</v>
      </c>
      <c r="G129" s="218">
        <f t="shared" si="3"/>
        <v>-5.0017450776790533E-16</v>
      </c>
      <c r="H129" s="218">
        <f t="shared" si="3"/>
        <v>-5.47125285241914E-16</v>
      </c>
      <c r="I129" s="218">
        <f t="shared" si="2"/>
        <v>1.7454732852643133E-16</v>
      </c>
      <c r="J129" s="218">
        <f t="shared" si="2"/>
        <v>-1.9966682535166848E-16</v>
      </c>
      <c r="K129" s="218">
        <f t="shared" si="2"/>
        <v>0</v>
      </c>
      <c r="L129" s="218">
        <f t="shared" si="2"/>
        <v>-3.6477903151534442E-16</v>
      </c>
      <c r="M129" s="218">
        <f t="shared" si="2"/>
        <v>2.1335605778447382E-16</v>
      </c>
      <c r="N129" s="218">
        <f t="shared" si="2"/>
        <v>-6.0477846806675378E-16</v>
      </c>
      <c r="O129" s="218">
        <f t="shared" si="2"/>
        <v>-2.7511417997648616E-16</v>
      </c>
      <c r="P129" s="218">
        <f t="shared" si="3"/>
        <v>-1.3782946721027812E-16</v>
      </c>
      <c r="Q129" s="218">
        <f t="shared" si="3"/>
        <v>7.7588315986505678E-16</v>
      </c>
      <c r="R129" s="218">
        <f t="shared" si="3"/>
        <v>5.5145457010332084E-16</v>
      </c>
    </row>
    <row r="130" spans="5:18" x14ac:dyDescent="0.25">
      <c r="E130" s="218">
        <f t="shared" si="3"/>
        <v>1.8500630865307586E-16</v>
      </c>
      <c r="F130" s="218">
        <f t="shared" si="3"/>
        <v>-1.7035140832921394E-16</v>
      </c>
      <c r="G130" s="218">
        <f t="shared" si="3"/>
        <v>-3.3582763733474597E-16</v>
      </c>
      <c r="H130" s="218">
        <f t="shared" si="3"/>
        <v>-3.5730577881805493E-16</v>
      </c>
      <c r="I130" s="218">
        <f t="shared" si="2"/>
        <v>-8.699162975420611E-16</v>
      </c>
      <c r="J130" s="218">
        <f t="shared" si="2"/>
        <v>-6.2102575102613827E-16</v>
      </c>
      <c r="K130" s="218">
        <f t="shared" si="2"/>
        <v>4.1715044801057119E-16</v>
      </c>
      <c r="L130" s="218">
        <f t="shared" si="2"/>
        <v>0</v>
      </c>
      <c r="M130" s="218">
        <f t="shared" si="2"/>
        <v>4.1725120330436863E-16</v>
      </c>
      <c r="N130" s="218">
        <f t="shared" si="2"/>
        <v>-2.0121802609331135E-16</v>
      </c>
      <c r="O130" s="218">
        <f t="shared" si="2"/>
        <v>-7.1735521144983115E-16</v>
      </c>
      <c r="P130" s="218">
        <f t="shared" si="3"/>
        <v>-5.751734446679581E-16</v>
      </c>
      <c r="Q130" s="218">
        <f t="shared" si="3"/>
        <v>-1.3377879634994892E-16</v>
      </c>
      <c r="R130" s="218">
        <f t="shared" si="3"/>
        <v>0</v>
      </c>
    </row>
    <row r="131" spans="5:18" x14ac:dyDescent="0.25">
      <c r="E131" s="218">
        <f t="shared" si="3"/>
        <v>-1.8340517465225511E-16</v>
      </c>
      <c r="F131" s="218">
        <f t="shared" si="3"/>
        <v>1.7366697592015428E-16</v>
      </c>
      <c r="G131" s="218">
        <f t="shared" si="3"/>
        <v>1.6810405019344614E-16</v>
      </c>
      <c r="H131" s="218">
        <f t="shared" si="3"/>
        <v>-7.0751904320111934E-16</v>
      </c>
      <c r="I131" s="218">
        <f t="shared" si="2"/>
        <v>8.6909759414406403E-16</v>
      </c>
      <c r="J131" s="218">
        <f t="shared" si="2"/>
        <v>0</v>
      </c>
      <c r="K131" s="218">
        <f t="shared" si="2"/>
        <v>0</v>
      </c>
      <c r="L131" s="218">
        <f t="shared" si="2"/>
        <v>1.8938196626669772E-16</v>
      </c>
      <c r="M131" s="218">
        <f t="shared" si="2"/>
        <v>-2.1084644236956482E-16</v>
      </c>
      <c r="N131" s="218">
        <f t="shared" si="2"/>
        <v>-6.1040682781955579E-16</v>
      </c>
      <c r="O131" s="218">
        <f t="shared" si="2"/>
        <v>0</v>
      </c>
      <c r="P131" s="218">
        <f t="shared" si="3"/>
        <v>-1.473874725178624E-16</v>
      </c>
      <c r="Q131" s="218">
        <f t="shared" si="3"/>
        <v>2.7338424097440621E-16</v>
      </c>
      <c r="R131" s="218">
        <f t="shared" si="3"/>
        <v>-5.8969609539831373E-16</v>
      </c>
    </row>
    <row r="132" spans="5:18" x14ac:dyDescent="0.25">
      <c r="E132" s="218">
        <f t="shared" si="3"/>
        <v>7.0046232371460472E-16</v>
      </c>
      <c r="F132" s="218">
        <f t="shared" si="3"/>
        <v>1.7303300290008242E-16</v>
      </c>
      <c r="G132" s="218">
        <f t="shared" si="3"/>
        <v>4.8940190515282245E-16</v>
      </c>
      <c r="H132" s="218">
        <f t="shared" si="3"/>
        <v>-1.7268589536156436E-16</v>
      </c>
      <c r="I132" s="218">
        <f t="shared" si="2"/>
        <v>1.5276864158242581E-15</v>
      </c>
      <c r="J132" s="218">
        <f t="shared" si="2"/>
        <v>3.8109132954060666E-16</v>
      </c>
      <c r="K132" s="218">
        <f t="shared" si="2"/>
        <v>1.9106465374340497E-16</v>
      </c>
      <c r="L132" s="218">
        <f t="shared" si="2"/>
        <v>5.2537890989524013E-16</v>
      </c>
      <c r="M132" s="218">
        <f t="shared" si="2"/>
        <v>-1.9111074384842337E-16</v>
      </c>
      <c r="N132" s="218">
        <f t="shared" si="2"/>
        <v>-9.284329285751368E-16</v>
      </c>
      <c r="O132" s="218">
        <f t="shared" si="2"/>
        <v>1.4050089539395926E-16</v>
      </c>
      <c r="P132" s="218">
        <f t="shared" si="3"/>
        <v>-1.4078224550368111E-16</v>
      </c>
      <c r="Q132" s="218">
        <f t="shared" si="3"/>
        <v>9.239264173707097E-16</v>
      </c>
      <c r="R132" s="218">
        <f t="shared" si="3"/>
        <v>-1.408171266685031E-16</v>
      </c>
    </row>
    <row r="133" spans="5:18" x14ac:dyDescent="0.25">
      <c r="E133" s="218">
        <f t="shared" si="3"/>
        <v>0</v>
      </c>
      <c r="F133" s="218">
        <f t="shared" si="3"/>
        <v>3.2471415955746535E-16</v>
      </c>
      <c r="G133" s="218">
        <f t="shared" si="3"/>
        <v>0</v>
      </c>
      <c r="H133" s="218">
        <f t="shared" si="3"/>
        <v>0</v>
      </c>
      <c r="I133" s="218">
        <f t="shared" si="2"/>
        <v>1.5969247422901383E-16</v>
      </c>
      <c r="J133" s="218">
        <f t="shared" si="2"/>
        <v>-3.5024415014209021E-16</v>
      </c>
      <c r="K133" s="218">
        <f t="shared" si="2"/>
        <v>0</v>
      </c>
      <c r="L133" s="218">
        <f t="shared" si="2"/>
        <v>6.5367783205077132E-16</v>
      </c>
      <c r="M133" s="218">
        <f t="shared" si="2"/>
        <v>0</v>
      </c>
      <c r="N133" s="218">
        <f t="shared" si="2"/>
        <v>0</v>
      </c>
      <c r="O133" s="218">
        <f t="shared" si="2"/>
        <v>1.3513814659399855E-16</v>
      </c>
      <c r="P133" s="218">
        <f t="shared" si="3"/>
        <v>2.7073860080151364E-16</v>
      </c>
      <c r="Q133" s="218">
        <f t="shared" si="3"/>
        <v>0</v>
      </c>
      <c r="R133" s="218">
        <f t="shared" si="3"/>
        <v>-1.3540280046814256E-16</v>
      </c>
    </row>
    <row r="134" spans="5:18" x14ac:dyDescent="0.25">
      <c r="E134" s="218">
        <f t="shared" si="3"/>
        <v>-1.5001757300157627E-16</v>
      </c>
      <c r="F134" s="218">
        <f t="shared" si="3"/>
        <v>7.4925294494372933E-16</v>
      </c>
      <c r="G134" s="218">
        <f t="shared" si="3"/>
        <v>1.4520062840751634E-16</v>
      </c>
      <c r="H134" s="218">
        <f t="shared" si="3"/>
        <v>-1.4954174339264102E-16</v>
      </c>
      <c r="I134" s="218">
        <f t="shared" si="2"/>
        <v>1.4821988422978702E-16</v>
      </c>
      <c r="J134" s="218">
        <f t="shared" si="2"/>
        <v>1.7337474848402135E-16</v>
      </c>
      <c r="K134" s="218">
        <f t="shared" si="2"/>
        <v>-3.4748550288950335E-16</v>
      </c>
      <c r="L134" s="218">
        <f t="shared" si="2"/>
        <v>1.6226479282702463E-16</v>
      </c>
      <c r="M134" s="218">
        <f t="shared" si="2"/>
        <v>1.7378476586019103E-16</v>
      </c>
      <c r="N134" s="218">
        <f t="shared" si="2"/>
        <v>-5.0976492153158787E-16</v>
      </c>
      <c r="O134" s="218">
        <f t="shared" si="2"/>
        <v>-4.1735116555564395E-16</v>
      </c>
      <c r="P134" s="218">
        <f t="shared" si="3"/>
        <v>4.1809715711487707E-16</v>
      </c>
      <c r="Q134" s="218">
        <f t="shared" si="3"/>
        <v>-2.6312402734091416E-16</v>
      </c>
      <c r="R134" s="218">
        <f t="shared" si="3"/>
        <v>-1.1152004338615913E-15</v>
      </c>
    </row>
    <row r="135" spans="5:18" x14ac:dyDescent="0.25">
      <c r="E135" s="218">
        <f t="shared" si="3"/>
        <v>0</v>
      </c>
      <c r="F135" s="218">
        <f t="shared" si="3"/>
        <v>8.2789488560105673E-16</v>
      </c>
      <c r="G135" s="218">
        <f t="shared" si="3"/>
        <v>-1.8491457345924564E-15</v>
      </c>
      <c r="H135" s="218">
        <f t="shared" si="3"/>
        <v>4.1356783639226596E-16</v>
      </c>
      <c r="I135" s="218">
        <f t="shared" si="3"/>
        <v>0</v>
      </c>
      <c r="J135" s="218">
        <f t="shared" si="3"/>
        <v>-2.2302308933273274E-16</v>
      </c>
      <c r="K135" s="218">
        <f t="shared" si="3"/>
        <v>1.2979528502688576E-16</v>
      </c>
      <c r="L135" s="218">
        <f t="shared" si="3"/>
        <v>4.5048914473454575E-16</v>
      </c>
      <c r="M135" s="218">
        <f t="shared" si="3"/>
        <v>3.8935147807179502E-16</v>
      </c>
      <c r="N135" s="218">
        <f t="shared" si="3"/>
        <v>-2.451313318873339E-16</v>
      </c>
      <c r="O135" s="218">
        <f t="shared" si="3"/>
        <v>2.8271225517571152E-16</v>
      </c>
      <c r="P135" s="218">
        <f t="shared" si="3"/>
        <v>8.5352124956918165E-16</v>
      </c>
      <c r="Q135" s="218">
        <f t="shared" si="3"/>
        <v>-8.5801840679642677E-16</v>
      </c>
      <c r="R135" s="218">
        <f t="shared" si="3"/>
        <v>-1.4222696257054115E-16</v>
      </c>
    </row>
    <row r="136" spans="5:18" x14ac:dyDescent="0.25">
      <c r="E136" s="218">
        <f t="shared" ref="E136:R150" si="4">(E102-E69)/E69</f>
        <v>-7.8263873088397383E-16</v>
      </c>
      <c r="F136" s="218">
        <f t="shared" si="4"/>
        <v>-3.9071752141755905E-16</v>
      </c>
      <c r="G136" s="218">
        <f t="shared" si="4"/>
        <v>-3.8951695959458734E-16</v>
      </c>
      <c r="H136" s="218">
        <f t="shared" si="4"/>
        <v>9.7587716300886194E-16</v>
      </c>
      <c r="I136" s="218">
        <f t="shared" si="4"/>
        <v>-1.5608535825429005E-15</v>
      </c>
      <c r="J136" s="218">
        <f t="shared" si="4"/>
        <v>8.8585874716286598E-16</v>
      </c>
      <c r="K136" s="218">
        <f t="shared" si="4"/>
        <v>-5.1827836479952521E-16</v>
      </c>
      <c r="L136" s="218">
        <f t="shared" si="4"/>
        <v>6.5923985200100511E-16</v>
      </c>
      <c r="M136" s="218">
        <f t="shared" si="4"/>
        <v>1.2955807226205473E-16</v>
      </c>
      <c r="N136" s="218">
        <f t="shared" si="4"/>
        <v>-2.4266614206533775E-16</v>
      </c>
      <c r="O136" s="218">
        <f t="shared" si="4"/>
        <v>5.6321740593466319E-16</v>
      </c>
      <c r="P136" s="218">
        <f t="shared" si="4"/>
        <v>1.4142816703581708E-16</v>
      </c>
      <c r="Q136" s="218">
        <f t="shared" si="4"/>
        <v>7.0042379440527713E-16</v>
      </c>
      <c r="R136" s="218">
        <f t="shared" si="4"/>
        <v>-1.2726162939888172E-15</v>
      </c>
    </row>
    <row r="137" spans="5:18" x14ac:dyDescent="0.25">
      <c r="E137" s="218">
        <f t="shared" si="4"/>
        <v>0</v>
      </c>
      <c r="F137" s="218">
        <f t="shared" si="4"/>
        <v>1.7560495923409426E-16</v>
      </c>
      <c r="G137" s="218">
        <f t="shared" si="4"/>
        <v>5.3074994029006081E-16</v>
      </c>
      <c r="H137" s="218">
        <f t="shared" si="4"/>
        <v>1.5788994898884657E-15</v>
      </c>
      <c r="I137" s="218">
        <f t="shared" si="4"/>
        <v>-8.7994910598646129E-16</v>
      </c>
      <c r="J137" s="218">
        <f t="shared" si="4"/>
        <v>4.0990329465339258E-16</v>
      </c>
      <c r="K137" s="218">
        <f t="shared" si="4"/>
        <v>6.3406789662981281E-16</v>
      </c>
      <c r="L137" s="218">
        <f t="shared" si="4"/>
        <v>-2.0380422034079768E-16</v>
      </c>
      <c r="M137" s="218">
        <f t="shared" si="4"/>
        <v>5.0720768086345573E-16</v>
      </c>
      <c r="N137" s="218">
        <f t="shared" si="4"/>
        <v>3.4809724291168001E-16</v>
      </c>
      <c r="O137" s="218">
        <f t="shared" si="4"/>
        <v>0</v>
      </c>
      <c r="P137" s="218">
        <f t="shared" si="4"/>
        <v>-5.2766629040595998E-16</v>
      </c>
      <c r="Q137" s="218">
        <f t="shared" si="4"/>
        <v>-2.6254131640312005E-16</v>
      </c>
      <c r="R137" s="218">
        <f t="shared" si="4"/>
        <v>-1.3189168580788796E-16</v>
      </c>
    </row>
    <row r="138" spans="5:18" x14ac:dyDescent="0.25">
      <c r="E138" s="218">
        <f t="shared" si="4"/>
        <v>-3.6077076653818889E-16</v>
      </c>
      <c r="F138" s="218">
        <f t="shared" si="4"/>
        <v>-3.5872908427587635E-16</v>
      </c>
      <c r="G138" s="218">
        <f t="shared" si="4"/>
        <v>-4.8300452341567605E-16</v>
      </c>
      <c r="H138" s="218">
        <f t="shared" si="4"/>
        <v>-1.1945500650145742E-15</v>
      </c>
      <c r="I138" s="218">
        <f t="shared" si="4"/>
        <v>-9.5949564589946049E-16</v>
      </c>
      <c r="J138" s="218">
        <f t="shared" si="4"/>
        <v>9.9165116766941285E-16</v>
      </c>
      <c r="K138" s="218">
        <f t="shared" si="4"/>
        <v>0</v>
      </c>
      <c r="L138" s="218">
        <f t="shared" si="4"/>
        <v>-4.2275077673293973E-16</v>
      </c>
      <c r="M138" s="218">
        <f t="shared" si="4"/>
        <v>0</v>
      </c>
      <c r="N138" s="218">
        <f t="shared" si="4"/>
        <v>-1.9842128426725501E-15</v>
      </c>
      <c r="O138" s="218">
        <f t="shared" si="4"/>
        <v>3.6638171145652742E-16</v>
      </c>
      <c r="P138" s="218">
        <f t="shared" si="4"/>
        <v>5.4969921429475932E-16</v>
      </c>
      <c r="Q138" s="218">
        <f t="shared" si="4"/>
        <v>0</v>
      </c>
      <c r="R138" s="218">
        <f t="shared" si="4"/>
        <v>-1.0991842683132861E-15</v>
      </c>
    </row>
    <row r="139" spans="5:18" x14ac:dyDescent="0.25">
      <c r="E139" s="218">
        <f t="shared" si="4"/>
        <v>-6.2158155872509315E-16</v>
      </c>
      <c r="F139" s="218">
        <f t="shared" si="4"/>
        <v>-2.9435334795676193E-16</v>
      </c>
      <c r="G139" s="218">
        <f t="shared" si="4"/>
        <v>-1.5477982658687462E-16</v>
      </c>
      <c r="H139" s="218">
        <f t="shared" si="4"/>
        <v>-7.3511277970694736E-16</v>
      </c>
      <c r="I139" s="218">
        <f t="shared" si="4"/>
        <v>1.3496037257514127E-15</v>
      </c>
      <c r="J139" s="218">
        <f t="shared" si="4"/>
        <v>-8.8845915437485179E-16</v>
      </c>
      <c r="K139" s="218">
        <f t="shared" si="4"/>
        <v>-4.5098274053615916E-16</v>
      </c>
      <c r="L139" s="218">
        <f t="shared" si="4"/>
        <v>5.2775391459907587E-16</v>
      </c>
      <c r="M139" s="218">
        <f t="shared" si="4"/>
        <v>5.6367223561641832E-16</v>
      </c>
      <c r="N139" s="218">
        <f t="shared" si="4"/>
        <v>4.0746701149520014E-16</v>
      </c>
      <c r="O139" s="218">
        <f t="shared" si="4"/>
        <v>-9.2596792105267898E-16</v>
      </c>
      <c r="P139" s="218">
        <f t="shared" si="4"/>
        <v>1.1583466063879114E-16</v>
      </c>
      <c r="Q139" s="218">
        <f t="shared" si="4"/>
        <v>-8.9803627891980958E-16</v>
      </c>
      <c r="R139" s="218">
        <f t="shared" si="4"/>
        <v>0</v>
      </c>
    </row>
    <row r="140" spans="5:18" x14ac:dyDescent="0.25">
      <c r="E140" s="218">
        <f t="shared" si="4"/>
        <v>-1.8515429847266513E-16</v>
      </c>
      <c r="F140" s="218">
        <f t="shared" si="4"/>
        <v>-1.7421521675244202E-16</v>
      </c>
      <c r="G140" s="218">
        <f t="shared" si="4"/>
        <v>-1.8355161890711289E-16</v>
      </c>
      <c r="H140" s="218">
        <f t="shared" si="4"/>
        <v>-1.3922240840945121E-15</v>
      </c>
      <c r="I140" s="218">
        <f t="shared" si="4"/>
        <v>-3.5535026291838609E-16</v>
      </c>
      <c r="J140" s="218">
        <f t="shared" si="4"/>
        <v>6.4867283140475087E-16</v>
      </c>
      <c r="K140" s="218">
        <f t="shared" si="4"/>
        <v>-1.3072375634400183E-15</v>
      </c>
      <c r="L140" s="218">
        <f t="shared" si="4"/>
        <v>0</v>
      </c>
      <c r="M140" s="218">
        <f t="shared" si="4"/>
        <v>2.6142016395225253E-16</v>
      </c>
      <c r="N140" s="218">
        <f t="shared" si="4"/>
        <v>8.4190789789405968E-16</v>
      </c>
      <c r="O140" s="218">
        <f t="shared" si="4"/>
        <v>-4.1513436593064757E-16</v>
      </c>
      <c r="P140" s="218">
        <f t="shared" si="4"/>
        <v>9.6988876369766903E-16</v>
      </c>
      <c r="Q140" s="218">
        <f t="shared" si="4"/>
        <v>5.2808987764922131E-16</v>
      </c>
      <c r="R140" s="218">
        <f t="shared" si="4"/>
        <v>9.696862359003359E-16</v>
      </c>
    </row>
    <row r="141" spans="5:18" x14ac:dyDescent="0.25">
      <c r="E141" s="218">
        <f t="shared" si="4"/>
        <v>1.4801208438856467E-15</v>
      </c>
      <c r="F141" s="218">
        <f t="shared" si="4"/>
        <v>8.0642627425600275E-16</v>
      </c>
      <c r="G141" s="218">
        <f t="shared" si="4"/>
        <v>4.1287781518662138E-16</v>
      </c>
      <c r="H141" s="218">
        <f t="shared" si="4"/>
        <v>0</v>
      </c>
      <c r="I141" s="218">
        <f t="shared" si="4"/>
        <v>1.0181371704201534E-15</v>
      </c>
      <c r="J141" s="218">
        <f t="shared" si="4"/>
        <v>1.2210231644534386E-16</v>
      </c>
      <c r="K141" s="218">
        <f t="shared" si="4"/>
        <v>-5.7690933686473905E-16</v>
      </c>
      <c r="L141" s="218">
        <f t="shared" si="4"/>
        <v>-1.1954470003325131E-16</v>
      </c>
      <c r="M141" s="218">
        <f t="shared" si="4"/>
        <v>4.3263505419905258E-16</v>
      </c>
      <c r="N141" s="218">
        <f t="shared" si="4"/>
        <v>-8.033139071156588E-16</v>
      </c>
      <c r="O141" s="218">
        <f t="shared" si="4"/>
        <v>1.5689222130681153E-16</v>
      </c>
      <c r="P141" s="218">
        <f t="shared" si="4"/>
        <v>3.1424975352161789E-16</v>
      </c>
      <c r="Q141" s="218">
        <f t="shared" si="4"/>
        <v>7.4364022354923031E-16</v>
      </c>
      <c r="R141" s="218">
        <f t="shared" si="4"/>
        <v>3.1418247933669756E-16</v>
      </c>
    </row>
    <row r="142" spans="5:18" x14ac:dyDescent="0.25">
      <c r="E142" s="218">
        <f t="shared" si="4"/>
        <v>-8.2284871704571925E-16</v>
      </c>
      <c r="F142" s="218">
        <f t="shared" si="4"/>
        <v>5.6836466966275366E-16</v>
      </c>
      <c r="G142" s="218">
        <f t="shared" si="4"/>
        <v>-4.4387733641307363E-16</v>
      </c>
      <c r="H142" s="218">
        <f t="shared" si="4"/>
        <v>-9.1085978883143038E-16</v>
      </c>
      <c r="I142" s="218">
        <f t="shared" si="4"/>
        <v>-1.3574182513395452E-15</v>
      </c>
      <c r="J142" s="218">
        <f t="shared" si="4"/>
        <v>-1.0813616753781683E-15</v>
      </c>
      <c r="K142" s="218">
        <f t="shared" si="4"/>
        <v>-1.1214783018375869E-15</v>
      </c>
      <c r="L142" s="218">
        <f t="shared" si="4"/>
        <v>7.9340222055900205E-16</v>
      </c>
      <c r="M142" s="218">
        <f t="shared" si="4"/>
        <v>1.60194061817205E-16</v>
      </c>
      <c r="N142" s="218">
        <f t="shared" si="4"/>
        <v>1.0392498347642384E-15</v>
      </c>
      <c r="O142" s="218">
        <f t="shared" si="4"/>
        <v>-1.7950867297483352E-16</v>
      </c>
      <c r="P142" s="218">
        <f t="shared" si="4"/>
        <v>5.39503775607543E-16</v>
      </c>
      <c r="Q142" s="218">
        <f t="shared" si="4"/>
        <v>-5.0530159151666206E-16</v>
      </c>
      <c r="R142" s="218">
        <f t="shared" si="4"/>
        <v>-1.0787788387812203E-15</v>
      </c>
    </row>
    <row r="143" spans="5:18" x14ac:dyDescent="0.25">
      <c r="E143" s="218">
        <f t="shared" si="4"/>
        <v>-6.4156458771446059E-16</v>
      </c>
      <c r="F143" s="218">
        <f t="shared" si="4"/>
        <v>6.2849247795354496E-16</v>
      </c>
      <c r="G143" s="218">
        <f t="shared" si="4"/>
        <v>7.0754693143404982E-16</v>
      </c>
      <c r="H143" s="218">
        <f t="shared" si="4"/>
        <v>-2.5261444156783143E-16</v>
      </c>
      <c r="I143" s="218">
        <f t="shared" si="4"/>
        <v>-8.6475208893404689E-16</v>
      </c>
      <c r="J143" s="218">
        <f t="shared" si="4"/>
        <v>0</v>
      </c>
      <c r="K143" s="218">
        <f t="shared" si="4"/>
        <v>0</v>
      </c>
      <c r="L143" s="218">
        <f t="shared" si="4"/>
        <v>9.9813158773252308E-16</v>
      </c>
      <c r="M143" s="218">
        <f t="shared" si="4"/>
        <v>-3.4993904056988899E-16</v>
      </c>
      <c r="N143" s="218">
        <f t="shared" si="4"/>
        <v>-1.7742821431847483E-15</v>
      </c>
      <c r="O143" s="218">
        <f t="shared" si="4"/>
        <v>1.9845832599343929E-16</v>
      </c>
      <c r="P143" s="218">
        <f t="shared" si="4"/>
        <v>-1.988693341933726E-16</v>
      </c>
      <c r="Q143" s="218">
        <f t="shared" si="4"/>
        <v>-1.8474597646698024E-16</v>
      </c>
      <c r="R143" s="218">
        <f t="shared" si="4"/>
        <v>0</v>
      </c>
    </row>
    <row r="144" spans="5:18" x14ac:dyDescent="0.25">
      <c r="E144" s="218">
        <f t="shared" si="4"/>
        <v>2.7631664655785645E-16</v>
      </c>
      <c r="F144" s="218">
        <f t="shared" si="4"/>
        <v>-9.587018119177146E-16</v>
      </c>
      <c r="G144" s="218">
        <f t="shared" si="4"/>
        <v>-1.2446216001506028E-16</v>
      </c>
      <c r="H144" s="218">
        <f t="shared" si="4"/>
        <v>-1.3766695668372784E-16</v>
      </c>
      <c r="I144" s="218">
        <f t="shared" si="4"/>
        <v>-1.5970895906024903E-15</v>
      </c>
      <c r="J144" s="218">
        <f t="shared" si="4"/>
        <v>0</v>
      </c>
      <c r="K144" s="218">
        <f t="shared" si="4"/>
        <v>5.6545610784766937E-16</v>
      </c>
      <c r="L144" s="218">
        <f t="shared" si="4"/>
        <v>-9.1095146592548873E-16</v>
      </c>
      <c r="M144" s="218">
        <f t="shared" si="4"/>
        <v>0</v>
      </c>
      <c r="N144" s="218">
        <f t="shared" si="4"/>
        <v>-1.3832566761394789E-15</v>
      </c>
      <c r="O144" s="218">
        <f t="shared" si="4"/>
        <v>-4.3266047245987876E-16</v>
      </c>
      <c r="P144" s="218">
        <f t="shared" si="4"/>
        <v>1.3010545993193971E-15</v>
      </c>
      <c r="Q144" s="218">
        <f t="shared" si="4"/>
        <v>1.9955145332646923E-16</v>
      </c>
      <c r="R144" s="218">
        <f t="shared" si="4"/>
        <v>-2.1679430208418519E-16</v>
      </c>
    </row>
    <row r="145" spans="5:18" x14ac:dyDescent="0.25">
      <c r="E145" s="218">
        <f t="shared" si="4"/>
        <v>7.3931063237913681E-16</v>
      </c>
      <c r="F145" s="218">
        <f t="shared" si="4"/>
        <v>5.8835049849264645E-16</v>
      </c>
      <c r="G145" s="218">
        <f t="shared" si="4"/>
        <v>-3.9590665132906222E-16</v>
      </c>
      <c r="H145" s="218">
        <f t="shared" si="4"/>
        <v>-1.4763254798060799E-16</v>
      </c>
      <c r="I145" s="218">
        <f t="shared" si="4"/>
        <v>4.2658213038411756E-16</v>
      </c>
      <c r="J145" s="218">
        <f t="shared" si="4"/>
        <v>1.1555936775127173E-15</v>
      </c>
      <c r="K145" s="218">
        <f t="shared" si="4"/>
        <v>1.0833524267230098E-15</v>
      </c>
      <c r="L145" s="218">
        <f t="shared" si="4"/>
        <v>9.6272537338814005E-16</v>
      </c>
      <c r="M145" s="218">
        <f t="shared" si="4"/>
        <v>-3.6107973072517867E-16</v>
      </c>
      <c r="N145" s="218">
        <f t="shared" si="4"/>
        <v>1.7264325658828719E-15</v>
      </c>
      <c r="O145" s="218">
        <f t="shared" si="4"/>
        <v>-1.4103232366382395E-15</v>
      </c>
      <c r="P145" s="218">
        <f t="shared" si="4"/>
        <v>1.1782108234321243E-16</v>
      </c>
      <c r="Q145" s="218">
        <f t="shared" si="4"/>
        <v>-6.4775001701084621E-16</v>
      </c>
      <c r="R145" s="218">
        <f t="shared" si="4"/>
        <v>8.2456102340130952E-16</v>
      </c>
    </row>
    <row r="146" spans="5:18" x14ac:dyDescent="0.25">
      <c r="E146" s="218">
        <f t="shared" si="4"/>
        <v>-6.2842431586806656E-16</v>
      </c>
      <c r="F146" s="218">
        <f t="shared" si="4"/>
        <v>1.5462979672678215E-16</v>
      </c>
      <c r="G146" s="218">
        <f t="shared" si="4"/>
        <v>0</v>
      </c>
      <c r="H146" s="218">
        <f t="shared" si="4"/>
        <v>0</v>
      </c>
      <c r="I146" s="218">
        <f t="shared" si="4"/>
        <v>1.3537411428195626E-15</v>
      </c>
      <c r="J146" s="218">
        <f t="shared" si="4"/>
        <v>1.0401797693659023E-15</v>
      </c>
      <c r="K146" s="218">
        <f t="shared" si="4"/>
        <v>-5.2365848702947217E-16</v>
      </c>
      <c r="L146" s="218">
        <f t="shared" si="4"/>
        <v>1.6839437555697249E-16</v>
      </c>
      <c r="M146" s="218">
        <f t="shared" si="4"/>
        <v>0</v>
      </c>
      <c r="N146" s="218">
        <f t="shared" si="4"/>
        <v>3.4493287878674523E-16</v>
      </c>
      <c r="O146" s="218">
        <f t="shared" si="4"/>
        <v>-5.0708077906807326E-16</v>
      </c>
      <c r="P146" s="218">
        <f t="shared" si="4"/>
        <v>0</v>
      </c>
      <c r="Q146" s="218">
        <f t="shared" si="4"/>
        <v>-1.3967329911876675E-15</v>
      </c>
      <c r="R146" s="218">
        <f t="shared" si="4"/>
        <v>-6.3529843818911386E-16</v>
      </c>
    </row>
    <row r="147" spans="5:18" x14ac:dyDescent="0.25">
      <c r="E147" s="218">
        <f t="shared" si="4"/>
        <v>3.2938879104955778E-16</v>
      </c>
      <c r="F147" s="218">
        <f t="shared" si="4"/>
        <v>-6.4601228885505083E-16</v>
      </c>
      <c r="G147" s="218">
        <f t="shared" si="4"/>
        <v>1.4782570130219189E-16</v>
      </c>
      <c r="H147" s="218">
        <f t="shared" si="4"/>
        <v>0</v>
      </c>
      <c r="I147" s="218">
        <f t="shared" si="4"/>
        <v>-4.2452082022418344E-15</v>
      </c>
      <c r="J147" s="218">
        <f t="shared" si="4"/>
        <v>-1.8405697336985178E-16</v>
      </c>
      <c r="K147" s="218">
        <f t="shared" si="4"/>
        <v>3.6844938131637107E-16</v>
      </c>
      <c r="L147" s="218">
        <f t="shared" si="4"/>
        <v>-8.9102098752219899E-16</v>
      </c>
      <c r="M147" s="218">
        <f t="shared" si="4"/>
        <v>-7.3682174866792661E-16</v>
      </c>
      <c r="N147" s="218">
        <f t="shared" si="4"/>
        <v>-1.6402578695157462E-15</v>
      </c>
      <c r="O147" s="218">
        <f t="shared" si="4"/>
        <v>6.8113255630054914E-16</v>
      </c>
      <c r="P147" s="218">
        <f t="shared" si="4"/>
        <v>0</v>
      </c>
      <c r="Q147" s="218">
        <f t="shared" si="4"/>
        <v>0</v>
      </c>
      <c r="R147" s="218">
        <f t="shared" si="4"/>
        <v>2.7307634665519639E-16</v>
      </c>
    </row>
    <row r="148" spans="5:18" x14ac:dyDescent="0.25">
      <c r="E148" s="218">
        <f t="shared" si="4"/>
        <v>-5.0195409629938275E-16</v>
      </c>
      <c r="F148" s="218">
        <f t="shared" si="4"/>
        <v>3.2978818572289104E-16</v>
      </c>
      <c r="G148" s="218">
        <f t="shared" si="4"/>
        <v>3.040010985820529E-16</v>
      </c>
      <c r="H148" s="218">
        <f t="shared" si="4"/>
        <v>4.9399804977516468E-16</v>
      </c>
      <c r="I148" s="218">
        <f t="shared" si="4"/>
        <v>1.6062042533574204E-16</v>
      </c>
      <c r="J148" s="218">
        <f t="shared" si="4"/>
        <v>1.540445904549319E-15</v>
      </c>
      <c r="K148" s="218">
        <f t="shared" si="4"/>
        <v>9.6368577065344865E-16</v>
      </c>
      <c r="L148" s="218">
        <f t="shared" si="4"/>
        <v>-9.3102608090487886E-16</v>
      </c>
      <c r="M148" s="218">
        <f t="shared" si="4"/>
        <v>1.9271547174614682E-16</v>
      </c>
      <c r="N148" s="218">
        <f t="shared" si="4"/>
        <v>1.9059357748417355E-15</v>
      </c>
      <c r="O148" s="218">
        <f t="shared" si="4"/>
        <v>-8.5526009349173463E-16</v>
      </c>
      <c r="P148" s="218">
        <f t="shared" si="4"/>
        <v>8.5728694813490171E-16</v>
      </c>
      <c r="Q148" s="218">
        <f t="shared" si="4"/>
        <v>1.3140308242816814E-16</v>
      </c>
      <c r="R148" s="218">
        <f t="shared" si="4"/>
        <v>-1.2856192511653522E-15</v>
      </c>
    </row>
    <row r="149" spans="5:18" x14ac:dyDescent="0.25">
      <c r="E149" s="218">
        <f t="shared" si="4"/>
        <v>8.0805362361965259E-16</v>
      </c>
      <c r="F149" s="218">
        <f t="shared" si="4"/>
        <v>0</v>
      </c>
      <c r="G149" s="218">
        <f t="shared" si="4"/>
        <v>-8.9885643664961408E-16</v>
      </c>
      <c r="H149" s="218">
        <f t="shared" si="4"/>
        <v>1.7654848440222574E-15</v>
      </c>
      <c r="I149" s="218">
        <f t="shared" si="4"/>
        <v>-1.4134542629955628E-15</v>
      </c>
      <c r="J149" s="218">
        <f t="shared" si="4"/>
        <v>-2.0032069781959715E-16</v>
      </c>
      <c r="K149" s="218">
        <f t="shared" si="4"/>
        <v>2.0051762516423299E-16</v>
      </c>
      <c r="L149" s="218">
        <f t="shared" si="4"/>
        <v>9.6706292411237119E-16</v>
      </c>
      <c r="M149" s="218">
        <f t="shared" si="4"/>
        <v>-4.009867010126346E-16</v>
      </c>
      <c r="N149" s="218">
        <f t="shared" si="4"/>
        <v>0</v>
      </c>
      <c r="O149" s="218">
        <f t="shared" si="4"/>
        <v>-2.9648028020612693E-16</v>
      </c>
      <c r="P149" s="218">
        <f t="shared" si="4"/>
        <v>-5.942851316191892E-16</v>
      </c>
      <c r="Q149" s="218">
        <f t="shared" si="4"/>
        <v>1.097508789241697E-15</v>
      </c>
      <c r="R149" s="218">
        <f t="shared" si="4"/>
        <v>0</v>
      </c>
    </row>
    <row r="150" spans="5:18" x14ac:dyDescent="0.25">
      <c r="E150" s="218">
        <f t="shared" si="4"/>
        <v>6.0150584052507849E-16</v>
      </c>
      <c r="F150" s="218">
        <f t="shared" si="4"/>
        <v>6.0167425925524381E-16</v>
      </c>
      <c r="G150" s="218">
        <f t="shared" si="4"/>
        <v>-1.4283277542372104E-16</v>
      </c>
      <c r="H150" s="218">
        <f t="shared" si="4"/>
        <v>-9.0119833255879897E-16</v>
      </c>
      <c r="I150" s="218">
        <f t="shared" si="4"/>
        <v>-5.913152375300616E-16</v>
      </c>
      <c r="J150" s="218">
        <f t="shared" si="4"/>
        <v>-8.4243005675747309E-16</v>
      </c>
      <c r="K150" s="218">
        <f t="shared" si="4"/>
        <v>2.1083267991278386E-16</v>
      </c>
      <c r="L150" s="218">
        <f t="shared" si="4"/>
        <v>4.0552572018969924E-16</v>
      </c>
      <c r="M150" s="218">
        <f t="shared" si="4"/>
        <v>-2.1080645886709655E-16</v>
      </c>
      <c r="N150" s="218">
        <f t="shared" si="4"/>
        <v>-4.1635321924617538E-16</v>
      </c>
      <c r="O150" s="218">
        <f t="shared" si="4"/>
        <v>1.7229328200716819E-15</v>
      </c>
      <c r="P150" s="218">
        <f t="shared" si="4"/>
        <v>4.7092741277062772E-16</v>
      </c>
      <c r="Q150" s="218">
        <f t="shared" si="4"/>
        <v>-1.3054915345695044E-15</v>
      </c>
      <c r="R150" s="218">
        <f t="shared" si="4"/>
        <v>3.1387179626748844E-16</v>
      </c>
    </row>
    <row r="151" spans="5:18" x14ac:dyDescent="0.25">
      <c r="E151" s="217"/>
      <c r="F151" s="217"/>
      <c r="G151" s="217"/>
      <c r="H151" s="217"/>
    </row>
    <row r="152" spans="5:18" x14ac:dyDescent="0.25">
      <c r="E152" s="217"/>
      <c r="F152" s="217"/>
      <c r="G152" s="217"/>
      <c r="H152" s="217"/>
    </row>
    <row r="153" spans="5:18" x14ac:dyDescent="0.25">
      <c r="E153" s="217"/>
      <c r="F153" s="217"/>
      <c r="G153" s="217"/>
      <c r="H153" s="217"/>
    </row>
    <row r="154" spans="5:18" x14ac:dyDescent="0.25">
      <c r="E154" s="217"/>
      <c r="F154" s="217"/>
      <c r="G154" s="217"/>
      <c r="H154" s="217"/>
    </row>
    <row r="155" spans="5:18" x14ac:dyDescent="0.25">
      <c r="E155" s="217"/>
      <c r="F155" s="217"/>
      <c r="G155" s="217"/>
      <c r="H155" s="217"/>
    </row>
    <row r="156" spans="5:18" x14ac:dyDescent="0.25">
      <c r="E156" s="217"/>
      <c r="F156" s="217"/>
      <c r="G156" s="217"/>
      <c r="H156" s="217"/>
    </row>
    <row r="157" spans="5:18" x14ac:dyDescent="0.25">
      <c r="E157" s="217"/>
      <c r="F157" s="217"/>
      <c r="G157" s="217"/>
      <c r="H157" s="217"/>
    </row>
    <row r="158" spans="5:18" x14ac:dyDescent="0.25">
      <c r="E158" s="217"/>
      <c r="F158" s="217"/>
      <c r="G158" s="217"/>
      <c r="H158" s="217"/>
    </row>
    <row r="159" spans="5:18" x14ac:dyDescent="0.25">
      <c r="E159" s="217"/>
      <c r="F159" s="217"/>
      <c r="G159" s="217"/>
      <c r="H159" s="217"/>
    </row>
    <row r="160" spans="5:18" x14ac:dyDescent="0.25">
      <c r="E160" s="217"/>
      <c r="F160" s="217"/>
      <c r="G160" s="217"/>
      <c r="H160" s="217"/>
    </row>
    <row r="161" spans="5:8" x14ac:dyDescent="0.25">
      <c r="E161" s="217"/>
      <c r="F161" s="217"/>
      <c r="G161" s="217"/>
      <c r="H161" s="217"/>
    </row>
    <row r="162" spans="5:8" x14ac:dyDescent="0.25">
      <c r="E162" s="217"/>
      <c r="F162" s="217"/>
      <c r="G162" s="217"/>
      <c r="H162" s="217"/>
    </row>
    <row r="163" spans="5:8" x14ac:dyDescent="0.25">
      <c r="E163" s="217"/>
      <c r="F163" s="217"/>
      <c r="G163" s="217"/>
      <c r="H163" s="217"/>
    </row>
    <row r="164" spans="5:8" x14ac:dyDescent="0.25">
      <c r="E164" s="217"/>
      <c r="F164" s="217"/>
      <c r="G164" s="217"/>
      <c r="H164" s="217"/>
    </row>
    <row r="165" spans="5:8" x14ac:dyDescent="0.25">
      <c r="E165" s="217"/>
      <c r="F165" s="217"/>
      <c r="G165" s="217"/>
      <c r="H165" s="217"/>
    </row>
    <row r="166" spans="5:8" x14ac:dyDescent="0.25">
      <c r="E166" s="217"/>
      <c r="F166" s="217"/>
      <c r="G166" s="217"/>
      <c r="H166" s="217"/>
    </row>
    <row r="167" spans="5:8" x14ac:dyDescent="0.25">
      <c r="E167" s="217"/>
      <c r="F167" s="217"/>
      <c r="G167" s="217"/>
      <c r="H167" s="217"/>
    </row>
    <row r="168" spans="5:8" x14ac:dyDescent="0.25">
      <c r="E168" s="217"/>
      <c r="F168" s="217"/>
      <c r="G168" s="217"/>
      <c r="H168" s="217"/>
    </row>
    <row r="169" spans="5:8" x14ac:dyDescent="0.25">
      <c r="E169" s="217"/>
      <c r="F169" s="217"/>
      <c r="G169" s="217"/>
      <c r="H169" s="217"/>
    </row>
    <row r="170" spans="5:8" x14ac:dyDescent="0.25">
      <c r="E170" s="217"/>
      <c r="F170" s="217"/>
      <c r="G170" s="217"/>
      <c r="H170" s="217"/>
    </row>
    <row r="171" spans="5:8" x14ac:dyDescent="0.25">
      <c r="E171" s="217"/>
      <c r="F171" s="217"/>
      <c r="G171" s="217"/>
      <c r="H171" s="217"/>
    </row>
    <row r="172" spans="5:8" x14ac:dyDescent="0.25">
      <c r="E172" s="217"/>
      <c r="F172" s="217"/>
      <c r="G172" s="217"/>
      <c r="H172" s="217"/>
    </row>
    <row r="173" spans="5:8" x14ac:dyDescent="0.25">
      <c r="E173" s="217"/>
      <c r="F173" s="217"/>
      <c r="G173" s="217"/>
      <c r="H173" s="217"/>
    </row>
    <row r="174" spans="5:8" x14ac:dyDescent="0.25">
      <c r="E174" s="217"/>
      <c r="F174" s="217"/>
      <c r="G174" s="217"/>
      <c r="H174" s="217"/>
    </row>
    <row r="175" spans="5:8" x14ac:dyDescent="0.25">
      <c r="E175" s="217"/>
      <c r="F175" s="217"/>
      <c r="G175" s="217"/>
      <c r="H175" s="217"/>
    </row>
    <row r="176" spans="5:8" x14ac:dyDescent="0.25">
      <c r="E176" s="217"/>
      <c r="F176" s="217"/>
      <c r="G176" s="217"/>
      <c r="H176" s="217"/>
    </row>
    <row r="177" spans="5:8" x14ac:dyDescent="0.25">
      <c r="E177" s="217"/>
      <c r="F177" s="217"/>
      <c r="G177" s="217"/>
      <c r="H177" s="217"/>
    </row>
    <row r="178" spans="5:8" x14ac:dyDescent="0.25">
      <c r="E178" s="217"/>
      <c r="F178" s="217"/>
      <c r="G178" s="217"/>
      <c r="H178" s="217"/>
    </row>
    <row r="179" spans="5:8" x14ac:dyDescent="0.25">
      <c r="E179" s="217"/>
      <c r="F179" s="217"/>
      <c r="G179" s="217"/>
      <c r="H179" s="217"/>
    </row>
    <row r="180" spans="5:8" x14ac:dyDescent="0.25">
      <c r="E180" s="217"/>
      <c r="F180" s="217"/>
      <c r="G180" s="217"/>
      <c r="H180" s="217"/>
    </row>
    <row r="181" spans="5:8" x14ac:dyDescent="0.25">
      <c r="E181" s="217"/>
      <c r="F181" s="217"/>
      <c r="G181" s="217"/>
      <c r="H181" s="217"/>
    </row>
    <row r="182" spans="5:8" x14ac:dyDescent="0.25">
      <c r="E182" s="217"/>
      <c r="F182" s="217"/>
      <c r="G182" s="217"/>
      <c r="H182" s="217"/>
    </row>
    <row r="183" spans="5:8" x14ac:dyDescent="0.25">
      <c r="E183" s="217"/>
      <c r="F183" s="217"/>
      <c r="G183" s="217"/>
      <c r="H183" s="217"/>
    </row>
    <row r="184" spans="5:8" x14ac:dyDescent="0.25">
      <c r="E184" s="217"/>
      <c r="F184" s="217"/>
      <c r="G184" s="217"/>
      <c r="H184" s="217"/>
    </row>
    <row r="185" spans="5:8" x14ac:dyDescent="0.25">
      <c r="E185" s="217"/>
      <c r="F185" s="217"/>
      <c r="G185" s="217"/>
      <c r="H185" s="217"/>
    </row>
    <row r="186" spans="5:8" x14ac:dyDescent="0.25">
      <c r="E186" s="217"/>
      <c r="F186" s="217"/>
      <c r="G186" s="217"/>
      <c r="H186" s="217"/>
    </row>
  </sheetData>
  <mergeCells count="10">
    <mergeCell ref="U11:AB11"/>
    <mergeCell ref="X13:AB22"/>
    <mergeCell ref="A1:S1"/>
    <mergeCell ref="U1:AL1"/>
    <mergeCell ref="E2:I2"/>
    <mergeCell ref="J2:N2"/>
    <mergeCell ref="O2:S2"/>
    <mergeCell ref="X2:AB2"/>
    <mergeCell ref="AC2:AG2"/>
    <mergeCell ref="AH2:AL2"/>
  </mergeCells>
  <conditionalFormatting sqref="E119:R1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L83"/>
  <sheetViews>
    <sheetView topLeftCell="L1" zoomScale="90" zoomScaleNormal="90" workbookViewId="0">
      <pane ySplit="3" topLeftCell="A4" activePane="bottomLeft" state="frozenSplit"/>
      <selection activeCell="S43" sqref="S43"/>
      <selection pane="bottomLeft" activeCell="S43" sqref="S43"/>
    </sheetView>
  </sheetViews>
  <sheetFormatPr defaultRowHeight="15" x14ac:dyDescent="0.25"/>
  <cols>
    <col min="1" max="1" width="13.28515625" style="302" bestFit="1" customWidth="1"/>
    <col min="2" max="2" width="13.28515625" style="302" customWidth="1"/>
    <col min="3" max="3" width="9.140625" style="302"/>
    <col min="4" max="4" width="12.42578125" style="302" bestFit="1" customWidth="1"/>
    <col min="5" max="8" width="9.140625" style="302"/>
    <col min="9" max="9" width="11.7109375" style="302" bestFit="1" customWidth="1"/>
    <col min="10" max="13" width="9.140625" style="302"/>
    <col min="14" max="14" width="11.7109375" style="302" bestFit="1" customWidth="1"/>
    <col min="15" max="18" width="9.140625" style="302"/>
    <col min="19" max="19" width="11.7109375" style="302" bestFit="1" customWidth="1"/>
    <col min="20" max="20" width="9.140625" style="302"/>
    <col min="21" max="21" width="12.7109375" style="302" customWidth="1"/>
    <col min="22" max="16384" width="9.140625" style="302"/>
  </cols>
  <sheetData>
    <row r="1" spans="1:38" x14ac:dyDescent="0.25">
      <c r="A1" s="1304" t="s">
        <v>322</v>
      </c>
      <c r="B1" s="1304"/>
      <c r="C1" s="1304"/>
      <c r="D1" s="1304"/>
      <c r="E1" s="1304"/>
      <c r="F1" s="1304"/>
      <c r="G1" s="1304"/>
      <c r="H1" s="1304"/>
      <c r="I1" s="1304"/>
      <c r="J1" s="1304"/>
      <c r="K1" s="1304"/>
      <c r="L1" s="1304"/>
      <c r="M1" s="1304"/>
      <c r="N1" s="1304"/>
      <c r="O1" s="1304"/>
      <c r="P1" s="1304"/>
      <c r="Q1" s="1304"/>
      <c r="R1" s="1304"/>
      <c r="S1" s="1304"/>
      <c r="U1" s="1305" t="s">
        <v>439</v>
      </c>
      <c r="V1" s="1305"/>
      <c r="W1" s="1305"/>
      <c r="X1" s="1305"/>
      <c r="Y1" s="1305"/>
      <c r="Z1" s="1305"/>
      <c r="AA1" s="1305"/>
      <c r="AB1" s="1305"/>
      <c r="AC1" s="1305"/>
      <c r="AD1" s="1305"/>
      <c r="AE1" s="1305"/>
      <c r="AF1" s="1305"/>
      <c r="AG1" s="1305"/>
      <c r="AH1" s="1305"/>
      <c r="AI1" s="1305"/>
      <c r="AJ1" s="1305"/>
      <c r="AK1" s="1305"/>
      <c r="AL1" s="1305"/>
    </row>
    <row r="2" spans="1:38" x14ac:dyDescent="0.25">
      <c r="A2" s="179"/>
      <c r="B2" s="179"/>
      <c r="C2" s="179"/>
      <c r="D2" s="179"/>
      <c r="E2" s="1304" t="s">
        <v>323</v>
      </c>
      <c r="F2" s="1304"/>
      <c r="G2" s="1304"/>
      <c r="H2" s="1304"/>
      <c r="I2" s="1304"/>
      <c r="J2" s="1304" t="s">
        <v>273</v>
      </c>
      <c r="K2" s="1304"/>
      <c r="L2" s="1304"/>
      <c r="M2" s="1304"/>
      <c r="N2" s="1304"/>
      <c r="O2" s="1304" t="s">
        <v>324</v>
      </c>
      <c r="P2" s="1304"/>
      <c r="Q2" s="1304"/>
      <c r="R2" s="1304"/>
      <c r="S2" s="1304"/>
      <c r="U2" s="180"/>
      <c r="V2" s="180"/>
      <c r="W2" s="180"/>
      <c r="X2" s="1305" t="s">
        <v>323</v>
      </c>
      <c r="Y2" s="1305"/>
      <c r="Z2" s="1305"/>
      <c r="AA2" s="1305"/>
      <c r="AB2" s="1305"/>
      <c r="AC2" s="1305" t="s">
        <v>273</v>
      </c>
      <c r="AD2" s="1305"/>
      <c r="AE2" s="1305"/>
      <c r="AF2" s="1305"/>
      <c r="AG2" s="1305"/>
      <c r="AH2" s="1305" t="s">
        <v>324</v>
      </c>
      <c r="AI2" s="1305"/>
      <c r="AJ2" s="1305"/>
      <c r="AK2" s="1305"/>
      <c r="AL2" s="1305"/>
    </row>
    <row r="3" spans="1:38" x14ac:dyDescent="0.25">
      <c r="A3" s="179" t="s">
        <v>327</v>
      </c>
      <c r="B3" s="179" t="s">
        <v>328</v>
      </c>
      <c r="C3" s="179" t="s">
        <v>329</v>
      </c>
      <c r="D3" s="179" t="s">
        <v>330</v>
      </c>
      <c r="E3" s="179">
        <v>2</v>
      </c>
      <c r="F3" s="179">
        <v>3</v>
      </c>
      <c r="G3" s="179">
        <v>4</v>
      </c>
      <c r="H3" s="179">
        <v>5</v>
      </c>
      <c r="I3" s="179" t="s">
        <v>331</v>
      </c>
      <c r="J3" s="179">
        <v>2</v>
      </c>
      <c r="K3" s="179">
        <v>3</v>
      </c>
      <c r="L3" s="179">
        <v>4</v>
      </c>
      <c r="M3" s="179">
        <v>5</v>
      </c>
      <c r="N3" s="179" t="s">
        <v>331</v>
      </c>
      <c r="O3" s="179">
        <v>2</v>
      </c>
      <c r="P3" s="179">
        <v>3</v>
      </c>
      <c r="Q3" s="179">
        <v>4</v>
      </c>
      <c r="R3" s="179">
        <v>5</v>
      </c>
      <c r="S3" s="179" t="s">
        <v>331</v>
      </c>
      <c r="U3" s="180" t="s">
        <v>327</v>
      </c>
      <c r="V3" s="180" t="s">
        <v>328</v>
      </c>
      <c r="W3" s="180" t="s">
        <v>329</v>
      </c>
      <c r="X3" s="180">
        <v>2</v>
      </c>
      <c r="Y3" s="180">
        <v>3</v>
      </c>
      <c r="Z3" s="180">
        <v>4</v>
      </c>
      <c r="AA3" s="180">
        <v>5</v>
      </c>
      <c r="AB3" s="180" t="s">
        <v>331</v>
      </c>
      <c r="AC3" s="180">
        <v>2</v>
      </c>
      <c r="AD3" s="180">
        <v>3</v>
      </c>
      <c r="AE3" s="180">
        <v>4</v>
      </c>
      <c r="AF3" s="180">
        <v>5</v>
      </c>
      <c r="AG3" s="180" t="s">
        <v>331</v>
      </c>
      <c r="AH3" s="180">
        <v>2</v>
      </c>
      <c r="AI3" s="180">
        <v>3</v>
      </c>
      <c r="AJ3" s="180">
        <v>4</v>
      </c>
      <c r="AK3" s="180">
        <v>5</v>
      </c>
      <c r="AL3" s="180" t="s">
        <v>331</v>
      </c>
    </row>
    <row r="4" spans="1:38" x14ac:dyDescent="0.25">
      <c r="A4" s="44" t="s">
        <v>332</v>
      </c>
      <c r="B4" s="44" t="s">
        <v>333</v>
      </c>
      <c r="C4" s="44" t="s">
        <v>334</v>
      </c>
      <c r="D4" s="44">
        <v>2.5</v>
      </c>
      <c r="E4" s="210">
        <v>1968.4016384193819</v>
      </c>
      <c r="F4" s="210">
        <v>1895.5464134659778</v>
      </c>
      <c r="G4" s="210">
        <v>1931.9815068498851</v>
      </c>
      <c r="H4" s="210">
        <v>1895.144152864445</v>
      </c>
      <c r="I4" s="210">
        <v>1911.3584446853038</v>
      </c>
      <c r="J4" s="210">
        <v>7778.3687144757869</v>
      </c>
      <c r="K4" s="210">
        <v>6405.5726651394089</v>
      </c>
      <c r="L4" s="210">
        <v>7803.5920494405445</v>
      </c>
      <c r="M4" s="210">
        <v>6404.3578404422587</v>
      </c>
      <c r="N4" s="210">
        <v>6911.416821694962</v>
      </c>
      <c r="O4" s="210">
        <v>8395.6909878033894</v>
      </c>
      <c r="P4" s="210">
        <v>8457.2390198307439</v>
      </c>
      <c r="Q4" s="210">
        <v>8465.7666421435715</v>
      </c>
      <c r="R4" s="210">
        <v>8455.7237093814965</v>
      </c>
      <c r="S4" s="210">
        <v>8454.3983724394857</v>
      </c>
      <c r="T4" s="181"/>
      <c r="U4" s="44" t="s">
        <v>332</v>
      </c>
      <c r="V4" s="44" t="s">
        <v>199</v>
      </c>
      <c r="W4" s="44" t="s">
        <v>334</v>
      </c>
      <c r="X4" s="168">
        <v>3296.5835142620326</v>
      </c>
      <c r="Y4" s="168">
        <v>3289.7389202364266</v>
      </c>
      <c r="Z4" s="168">
        <v>3296.7311338114264</v>
      </c>
      <c r="AA4" s="168">
        <v>3288.4563368844788</v>
      </c>
      <c r="AB4" s="168">
        <v>3291.8135998721814</v>
      </c>
      <c r="AC4" s="168">
        <v>7850.5609395576976</v>
      </c>
      <c r="AD4" s="168">
        <v>7852.2403509991855</v>
      </c>
      <c r="AE4" s="168">
        <v>7850.6806848365313</v>
      </c>
      <c r="AF4" s="168">
        <v>7852.5106085375473</v>
      </c>
      <c r="AG4" s="168">
        <v>7851.7739058984798</v>
      </c>
      <c r="AH4" s="168">
        <v>7714.7078540369348</v>
      </c>
      <c r="AI4" s="168">
        <v>7713.805140458805</v>
      </c>
      <c r="AJ4" s="168">
        <v>7716.0301684413016</v>
      </c>
      <c r="AK4" s="168">
        <v>7715.0827803229213</v>
      </c>
      <c r="AL4" s="168">
        <v>7715.1016680449866</v>
      </c>
    </row>
    <row r="5" spans="1:38" x14ac:dyDescent="0.25">
      <c r="A5" s="44" t="s">
        <v>332</v>
      </c>
      <c r="B5" s="44" t="s">
        <v>333</v>
      </c>
      <c r="C5" s="44" t="s">
        <v>334</v>
      </c>
      <c r="D5" s="44">
        <v>5</v>
      </c>
      <c r="E5" s="210">
        <v>1083.5656910449529</v>
      </c>
      <c r="F5" s="210">
        <v>1068.7669799107036</v>
      </c>
      <c r="G5" s="210">
        <v>1069.6819009058615</v>
      </c>
      <c r="H5" s="210">
        <v>1068.5597449138916</v>
      </c>
      <c r="I5" s="210">
        <v>1070.0539068177188</v>
      </c>
      <c r="J5" s="210">
        <v>4139.4660892266238</v>
      </c>
      <c r="K5" s="210">
        <v>3241.6211840334668</v>
      </c>
      <c r="L5" s="210">
        <v>4071.2946931788806</v>
      </c>
      <c r="M5" s="210">
        <v>3241.0085584457543</v>
      </c>
      <c r="N5" s="210">
        <v>3548.1282314955006</v>
      </c>
      <c r="O5" s="210">
        <v>4347.2710147230255</v>
      </c>
      <c r="P5" s="210">
        <v>4268.4076423665883</v>
      </c>
      <c r="Q5" s="210">
        <v>4318.1579600552577</v>
      </c>
      <c r="R5" s="210">
        <v>4267.6481088037881</v>
      </c>
      <c r="S5" s="210">
        <v>4288.3537061079296</v>
      </c>
      <c r="U5" s="44" t="s">
        <v>332</v>
      </c>
      <c r="V5" s="44" t="s">
        <v>333</v>
      </c>
      <c r="W5" s="182" t="s">
        <v>335</v>
      </c>
      <c r="X5" s="168">
        <v>0.94395947291375104</v>
      </c>
      <c r="Y5" s="168">
        <v>0.92822129231329387</v>
      </c>
      <c r="Z5" s="168">
        <v>0.95080391351262539</v>
      </c>
      <c r="AA5" s="168">
        <v>0.93518999235309064</v>
      </c>
      <c r="AB5" s="168">
        <v>0.93910805035104805</v>
      </c>
      <c r="AC5" s="168">
        <v>26.672033334465535</v>
      </c>
      <c r="AD5" s="168">
        <v>26.66059731489176</v>
      </c>
      <c r="AE5" s="168">
        <v>26.688195948717112</v>
      </c>
      <c r="AF5" s="168">
        <v>26.684864569547173</v>
      </c>
      <c r="AG5" s="168">
        <v>26.680500420786341</v>
      </c>
      <c r="AH5" s="168">
        <v>28.718613104586847</v>
      </c>
      <c r="AI5" s="168">
        <v>28.679541563360935</v>
      </c>
      <c r="AJ5" s="168">
        <v>28.788321333806973</v>
      </c>
      <c r="AK5" s="168">
        <v>28.772130961963555</v>
      </c>
      <c r="AL5" s="168">
        <v>28.755957883996196</v>
      </c>
    </row>
    <row r="6" spans="1:38" x14ac:dyDescent="0.25">
      <c r="A6" s="44" t="s">
        <v>332</v>
      </c>
      <c r="B6" s="44" t="s">
        <v>333</v>
      </c>
      <c r="C6" s="44" t="s">
        <v>334</v>
      </c>
      <c r="D6" s="44">
        <v>10</v>
      </c>
      <c r="E6" s="210">
        <v>638.87073440286883</v>
      </c>
      <c r="F6" s="210">
        <v>655.3762715286407</v>
      </c>
      <c r="G6" s="210">
        <v>638.71921715923645</v>
      </c>
      <c r="H6" s="210">
        <v>655.2648169821947</v>
      </c>
      <c r="I6" s="210">
        <v>649.28276158170775</v>
      </c>
      <c r="J6" s="210">
        <v>2542.6785350817026</v>
      </c>
      <c r="K6" s="210">
        <v>1863.5175620092143</v>
      </c>
      <c r="L6" s="210">
        <v>2543.3226506802735</v>
      </c>
      <c r="M6" s="210">
        <v>1863.1896667613744</v>
      </c>
      <c r="N6" s="210">
        <v>2110.4812032820837</v>
      </c>
      <c r="O6" s="210">
        <v>2610.4149439139937</v>
      </c>
      <c r="P6" s="210">
        <v>2651.7330931959227</v>
      </c>
      <c r="Q6" s="210">
        <v>2631.2394616446745</v>
      </c>
      <c r="R6" s="210">
        <v>2651.3025933747558</v>
      </c>
      <c r="S6" s="210">
        <v>2642.5254318025054</v>
      </c>
      <c r="U6" s="182" t="s">
        <v>332</v>
      </c>
      <c r="V6" s="44" t="s">
        <v>333</v>
      </c>
      <c r="W6" s="44" t="s">
        <v>336</v>
      </c>
      <c r="X6" s="168">
        <v>8.6320700955527283E-2</v>
      </c>
      <c r="Y6" s="168">
        <v>8.6735029065059185E-2</v>
      </c>
      <c r="Z6" s="168">
        <v>8.6248960138583727E-2</v>
      </c>
      <c r="AA6" s="168">
        <v>8.6744275150035688E-2</v>
      </c>
      <c r="AB6" s="168">
        <v>8.6560978266842434E-2</v>
      </c>
      <c r="AC6" s="168">
        <v>1.5155323618362333</v>
      </c>
      <c r="AD6" s="168">
        <v>1.5154437359760735</v>
      </c>
      <c r="AE6" s="168">
        <v>1.5155376121297228</v>
      </c>
      <c r="AF6" s="168">
        <v>1.5154561685456189</v>
      </c>
      <c r="AG6" s="168">
        <v>1.515481749244397</v>
      </c>
      <c r="AH6" s="168">
        <v>1.7176009380191266</v>
      </c>
      <c r="AI6" s="168">
        <v>1.7186691615773453</v>
      </c>
      <c r="AJ6" s="168">
        <v>1.7168298884255475</v>
      </c>
      <c r="AK6" s="168">
        <v>1.7184297616434807</v>
      </c>
      <c r="AL6" s="168">
        <v>1.7179219731119526</v>
      </c>
    </row>
    <row r="7" spans="1:38" x14ac:dyDescent="0.25">
      <c r="A7" s="44" t="s">
        <v>332</v>
      </c>
      <c r="B7" s="44" t="s">
        <v>333</v>
      </c>
      <c r="C7" s="44" t="s">
        <v>334</v>
      </c>
      <c r="D7" s="44">
        <v>15</v>
      </c>
      <c r="E7" s="210">
        <v>503.59368477477227</v>
      </c>
      <c r="F7" s="210">
        <v>517.57945442887046</v>
      </c>
      <c r="G7" s="210">
        <v>504.20255598935512</v>
      </c>
      <c r="H7" s="210">
        <v>517.50026385622834</v>
      </c>
      <c r="I7" s="210">
        <v>512.63542282966409</v>
      </c>
      <c r="J7" s="210">
        <v>2077.6814531680816</v>
      </c>
      <c r="K7" s="210">
        <v>1423.4285909885223</v>
      </c>
      <c r="L7" s="210">
        <v>2091.2745710186168</v>
      </c>
      <c r="M7" s="210">
        <v>1423.1896255187212</v>
      </c>
      <c r="N7" s="210">
        <v>1665.1083843210072</v>
      </c>
      <c r="O7" s="210">
        <v>2254.5713227622759</v>
      </c>
      <c r="P7" s="210">
        <v>2322.782804501232</v>
      </c>
      <c r="Q7" s="210">
        <v>2287.9567592130588</v>
      </c>
      <c r="R7" s="210">
        <v>2322.4467866245527</v>
      </c>
      <c r="S7" s="210">
        <v>2307.4601309442273</v>
      </c>
      <c r="U7" s="182" t="s">
        <v>332</v>
      </c>
      <c r="V7" s="182" t="s">
        <v>337</v>
      </c>
      <c r="W7" s="182" t="s">
        <v>335</v>
      </c>
      <c r="X7" s="168">
        <v>2.5547319384610359</v>
      </c>
      <c r="Y7" s="168">
        <v>2.5529723442841092</v>
      </c>
      <c r="Z7" s="168">
        <v>2.5989687570808995</v>
      </c>
      <c r="AA7" s="168">
        <v>2.5964909511993244</v>
      </c>
      <c r="AB7" s="168">
        <v>2.5860206751293329</v>
      </c>
      <c r="AC7" s="168">
        <v>24.399760444284261</v>
      </c>
      <c r="AD7" s="168">
        <v>24.3970099909433</v>
      </c>
      <c r="AE7" s="168">
        <v>24.37514482397037</v>
      </c>
      <c r="AF7" s="168">
        <v>24.371972643019479</v>
      </c>
      <c r="AG7" s="168">
        <v>24.379550594982216</v>
      </c>
      <c r="AH7" s="168">
        <v>26.247500279890396</v>
      </c>
      <c r="AI7" s="168">
        <v>26.246049383339088</v>
      </c>
      <c r="AJ7" s="168">
        <v>26.28208761818362</v>
      </c>
      <c r="AK7" s="168">
        <v>26.268081148560412</v>
      </c>
      <c r="AL7" s="168">
        <v>26.2668373090216</v>
      </c>
    </row>
    <row r="8" spans="1:38" x14ac:dyDescent="0.25">
      <c r="A8" s="44" t="s">
        <v>332</v>
      </c>
      <c r="B8" s="44" t="s">
        <v>333</v>
      </c>
      <c r="C8" s="44" t="s">
        <v>334</v>
      </c>
      <c r="D8" s="44">
        <v>20</v>
      </c>
      <c r="E8" s="210">
        <v>424.24611752022423</v>
      </c>
      <c r="F8" s="210">
        <v>446.26688510116207</v>
      </c>
      <c r="G8" s="210">
        <v>422.30220425448158</v>
      </c>
      <c r="H8" s="210">
        <v>446.20395839944166</v>
      </c>
      <c r="I8" s="210">
        <v>437.67279733747176</v>
      </c>
      <c r="J8" s="210">
        <v>1842.5635412485321</v>
      </c>
      <c r="K8" s="210">
        <v>1348.1184939993609</v>
      </c>
      <c r="L8" s="210">
        <v>1846.392695934182</v>
      </c>
      <c r="M8" s="210">
        <v>1347.912392055347</v>
      </c>
      <c r="N8" s="210">
        <v>1528.8968690826043</v>
      </c>
      <c r="O8" s="210">
        <v>2038.313917082651</v>
      </c>
      <c r="P8" s="210">
        <v>2073.0083377127953</v>
      </c>
      <c r="Q8" s="210">
        <v>2055.1836846212764</v>
      </c>
      <c r="R8" s="210">
        <v>2072.7260798698426</v>
      </c>
      <c r="S8" s="210">
        <v>2065.1338575273016</v>
      </c>
      <c r="U8" s="182" t="s">
        <v>332</v>
      </c>
      <c r="V8" s="182" t="s">
        <v>337</v>
      </c>
      <c r="W8" s="182" t="s">
        <v>338</v>
      </c>
      <c r="X8" s="168">
        <v>0.61751845853453957</v>
      </c>
      <c r="Y8" s="168">
        <v>0.61830053127500273</v>
      </c>
      <c r="Z8" s="168">
        <v>0.61448331341563034</v>
      </c>
      <c r="AA8" s="168">
        <v>0.61548768703304357</v>
      </c>
      <c r="AB8" s="168">
        <v>0.61583922156998427</v>
      </c>
      <c r="AC8" s="168">
        <v>3.4492301068654729</v>
      </c>
      <c r="AD8" s="168">
        <v>3.4490570816624251</v>
      </c>
      <c r="AE8" s="168">
        <v>3.4494123384047635</v>
      </c>
      <c r="AF8" s="168">
        <v>3.4492384768218001</v>
      </c>
      <c r="AG8" s="168">
        <v>3.4492574845856425</v>
      </c>
      <c r="AH8" s="168">
        <v>4.9834567162752084</v>
      </c>
      <c r="AI8" s="168">
        <v>4.9818099429038503</v>
      </c>
      <c r="AJ8" s="168">
        <v>4.9868462946374965</v>
      </c>
      <c r="AK8" s="168">
        <v>4.9849482305554282</v>
      </c>
      <c r="AL8" s="168">
        <v>4.984839851937636</v>
      </c>
    </row>
    <row r="9" spans="1:38" x14ac:dyDescent="0.25">
      <c r="A9" s="44" t="s">
        <v>332</v>
      </c>
      <c r="B9" s="44" t="s">
        <v>333</v>
      </c>
      <c r="C9" s="44" t="s">
        <v>334</v>
      </c>
      <c r="D9" s="44">
        <v>25</v>
      </c>
      <c r="E9" s="210">
        <v>380.28932620658446</v>
      </c>
      <c r="F9" s="210">
        <v>398.61873685979725</v>
      </c>
      <c r="G9" s="210">
        <v>377.89950471734119</v>
      </c>
      <c r="H9" s="210">
        <v>398.5654677367304</v>
      </c>
      <c r="I9" s="210">
        <v>391.24240479077486</v>
      </c>
      <c r="J9" s="210">
        <v>1686.6071637400191</v>
      </c>
      <c r="K9" s="210">
        <v>1290.8640612617573</v>
      </c>
      <c r="L9" s="210">
        <v>1672.2755946616346</v>
      </c>
      <c r="M9" s="210">
        <v>1290.6777287540551</v>
      </c>
      <c r="N9" s="210">
        <v>1430.5306390522717</v>
      </c>
      <c r="O9" s="210">
        <v>1909.5186012731688</v>
      </c>
      <c r="P9" s="210">
        <v>1906.3272596684596</v>
      </c>
      <c r="Q9" s="210">
        <v>1907.6939953550527</v>
      </c>
      <c r="R9" s="210">
        <v>1906.0784238389674</v>
      </c>
      <c r="S9" s="210">
        <v>1906.8522895716683</v>
      </c>
    </row>
    <row r="10" spans="1:38" x14ac:dyDescent="0.25">
      <c r="A10" s="44" t="s">
        <v>332</v>
      </c>
      <c r="B10" s="44" t="s">
        <v>333</v>
      </c>
      <c r="C10" s="44" t="s">
        <v>334</v>
      </c>
      <c r="D10" s="44">
        <v>30</v>
      </c>
      <c r="E10" s="210">
        <v>358.82857126532906</v>
      </c>
      <c r="F10" s="210">
        <v>356.1584235006988</v>
      </c>
      <c r="G10" s="210">
        <v>352.72883208616548</v>
      </c>
      <c r="H10" s="210">
        <v>356.11210898126637</v>
      </c>
      <c r="I10" s="210">
        <v>355.3504288144573</v>
      </c>
      <c r="J10" s="210">
        <v>1656.8622648409348</v>
      </c>
      <c r="K10" s="210">
        <v>1280.6161609871588</v>
      </c>
      <c r="L10" s="210">
        <v>1630.0711672336911</v>
      </c>
      <c r="M10" s="210">
        <v>1280.4402598602628</v>
      </c>
      <c r="N10" s="210">
        <v>1409.6069891609175</v>
      </c>
      <c r="O10" s="210">
        <v>1886.4122160275715</v>
      </c>
      <c r="P10" s="210">
        <v>1851.0640644831165</v>
      </c>
      <c r="Q10" s="210">
        <v>1868.7077052076736</v>
      </c>
      <c r="R10" s="210">
        <v>1850.834942956682</v>
      </c>
      <c r="S10" s="210">
        <v>1858.7110783779544</v>
      </c>
    </row>
    <row r="11" spans="1:38" x14ac:dyDescent="0.25">
      <c r="A11" s="44" t="s">
        <v>332</v>
      </c>
      <c r="B11" s="44" t="s">
        <v>333</v>
      </c>
      <c r="C11" s="44" t="s">
        <v>334</v>
      </c>
      <c r="D11" s="44">
        <v>35</v>
      </c>
      <c r="E11" s="213">
        <v>357.69309903863945</v>
      </c>
      <c r="F11" s="213">
        <v>338.11408300946829</v>
      </c>
      <c r="G11" s="213">
        <v>346.3310441289957</v>
      </c>
      <c r="H11" s="213">
        <v>336.88771324498657</v>
      </c>
      <c r="I11" s="213">
        <v>341.41853931409429</v>
      </c>
      <c r="J11" s="213">
        <v>1463.0259310041824</v>
      </c>
      <c r="K11" s="213">
        <v>1129.8560884815781</v>
      </c>
      <c r="L11" s="213">
        <v>1404.2949550657383</v>
      </c>
      <c r="M11" s="213">
        <v>1129.7006409753158</v>
      </c>
      <c r="N11" s="213">
        <v>1233.9869719013552</v>
      </c>
      <c r="O11" s="213">
        <v>1670.0987443584468</v>
      </c>
      <c r="P11" s="213">
        <v>1561.4318287071535</v>
      </c>
      <c r="Q11" s="213">
        <v>1616.1783512676914</v>
      </c>
      <c r="R11" s="213">
        <v>1561.2350302811988</v>
      </c>
      <c r="S11" s="213">
        <v>1585.3090756677204</v>
      </c>
      <c r="U11" s="1302" t="s">
        <v>340</v>
      </c>
      <c r="V11" s="1302"/>
      <c r="W11" s="1302"/>
      <c r="X11" s="1302"/>
      <c r="Y11" s="1302"/>
      <c r="Z11" s="1302"/>
      <c r="AA11" s="1302"/>
      <c r="AB11" s="1302"/>
    </row>
    <row r="12" spans="1:38" x14ac:dyDescent="0.25">
      <c r="A12" s="44" t="s">
        <v>332</v>
      </c>
      <c r="B12" s="44" t="s">
        <v>333</v>
      </c>
      <c r="C12" s="44" t="s">
        <v>334</v>
      </c>
      <c r="D12" s="44">
        <v>40</v>
      </c>
      <c r="E12" s="210">
        <v>355.67837566015248</v>
      </c>
      <c r="F12" s="210">
        <v>327.51623983918233</v>
      </c>
      <c r="G12" s="210">
        <v>341.37304906868019</v>
      </c>
      <c r="H12" s="210">
        <v>325.13742245133574</v>
      </c>
      <c r="I12" s="210">
        <v>332.58682218198777</v>
      </c>
      <c r="J12" s="210">
        <v>1437.813636391046</v>
      </c>
      <c r="K12" s="210">
        <v>1080.2244565351405</v>
      </c>
      <c r="L12" s="210">
        <v>1358.0276668746903</v>
      </c>
      <c r="M12" s="210">
        <v>1080.0801209538918</v>
      </c>
      <c r="N12" s="210">
        <v>1187.1685793640377</v>
      </c>
      <c r="O12" s="210">
        <v>1653.5330624703197</v>
      </c>
      <c r="P12" s="210">
        <v>1507.0217976473339</v>
      </c>
      <c r="Q12" s="210">
        <v>1580.9152660233462</v>
      </c>
      <c r="R12" s="210">
        <v>1506.8394654220876</v>
      </c>
      <c r="S12" s="210">
        <v>1539.2743031820105</v>
      </c>
      <c r="U12" s="180" t="s">
        <v>327</v>
      </c>
      <c r="V12" s="180" t="s">
        <v>328</v>
      </c>
      <c r="W12" s="180" t="s">
        <v>329</v>
      </c>
      <c r="X12" s="180" t="s">
        <v>323</v>
      </c>
      <c r="Y12" s="180" t="s">
        <v>273</v>
      </c>
      <c r="Z12" s="180" t="s">
        <v>324</v>
      </c>
      <c r="AA12" s="180" t="s">
        <v>325</v>
      </c>
      <c r="AB12" s="180" t="s">
        <v>326</v>
      </c>
      <c r="AH12" s="302">
        <v>2</v>
      </c>
      <c r="AI12" s="302" t="s">
        <v>342</v>
      </c>
    </row>
    <row r="13" spans="1:38" x14ac:dyDescent="0.25">
      <c r="A13" s="44" t="s">
        <v>332</v>
      </c>
      <c r="B13" s="44" t="s">
        <v>333</v>
      </c>
      <c r="C13" s="44" t="s">
        <v>334</v>
      </c>
      <c r="D13" s="44">
        <v>45</v>
      </c>
      <c r="E13" s="210">
        <v>352.17659182148361</v>
      </c>
      <c r="F13" s="210">
        <v>319.27320381070791</v>
      </c>
      <c r="G13" s="210">
        <v>336.5380753009419</v>
      </c>
      <c r="H13" s="210">
        <v>316.42031303542893</v>
      </c>
      <c r="I13" s="210">
        <v>325.47509980681275</v>
      </c>
      <c r="J13" s="210">
        <v>1412.87398688386</v>
      </c>
      <c r="K13" s="210">
        <v>1041.5694206629794</v>
      </c>
      <c r="L13" s="210">
        <v>1318.833495260335</v>
      </c>
      <c r="M13" s="210">
        <v>1041.4337331905774</v>
      </c>
      <c r="N13" s="210">
        <v>1149.3944888797905</v>
      </c>
      <c r="O13" s="210">
        <v>1636.7960983311145</v>
      </c>
      <c r="P13" s="210">
        <v>1464.0675967168795</v>
      </c>
      <c r="Q13" s="210">
        <v>1551.226437494483</v>
      </c>
      <c r="R13" s="210">
        <v>1463.894383949852</v>
      </c>
      <c r="S13" s="210">
        <v>1502.1220971998894</v>
      </c>
      <c r="U13" s="44" t="s">
        <v>332</v>
      </c>
      <c r="V13" s="44" t="s">
        <v>199</v>
      </c>
      <c r="W13" s="44" t="s">
        <v>334</v>
      </c>
      <c r="X13" s="1287" t="s">
        <v>341</v>
      </c>
      <c r="Y13" s="1288"/>
      <c r="Z13" s="1288"/>
      <c r="AA13" s="1288"/>
      <c r="AB13" s="1289"/>
      <c r="AH13" s="302">
        <v>3</v>
      </c>
      <c r="AI13" s="302" t="s">
        <v>343</v>
      </c>
    </row>
    <row r="14" spans="1:38" x14ac:dyDescent="0.25">
      <c r="A14" s="44" t="s">
        <v>332</v>
      </c>
      <c r="B14" s="44" t="s">
        <v>333</v>
      </c>
      <c r="C14" s="44" t="s">
        <v>334</v>
      </c>
      <c r="D14" s="44">
        <v>50</v>
      </c>
      <c r="E14" s="210">
        <v>343.52078657486987</v>
      </c>
      <c r="F14" s="210">
        <v>313.24387326133257</v>
      </c>
      <c r="G14" s="210">
        <v>328.16639663401475</v>
      </c>
      <c r="H14" s="210">
        <v>310.16129046777877</v>
      </c>
      <c r="I14" s="210">
        <v>318.47193548281803</v>
      </c>
      <c r="J14" s="210">
        <v>1381.8385292669168</v>
      </c>
      <c r="K14" s="210">
        <v>1086.7340026464435</v>
      </c>
      <c r="L14" s="210">
        <v>1277.70726554975</v>
      </c>
      <c r="M14" s="210">
        <v>1086.5982202490375</v>
      </c>
      <c r="N14" s="210">
        <v>1163.946083484866</v>
      </c>
      <c r="O14" s="210">
        <v>1583.7741213487761</v>
      </c>
      <c r="P14" s="210">
        <v>1388.8555345866462</v>
      </c>
      <c r="Q14" s="210">
        <v>1487.246371140754</v>
      </c>
      <c r="R14" s="210">
        <v>1388.6943792406362</v>
      </c>
      <c r="S14" s="210">
        <v>1431.823928382513</v>
      </c>
      <c r="U14" s="44" t="s">
        <v>332</v>
      </c>
      <c r="V14" s="44" t="s">
        <v>333</v>
      </c>
      <c r="W14" s="182" t="s">
        <v>335</v>
      </c>
      <c r="X14" s="1290"/>
      <c r="Y14" s="1303"/>
      <c r="Z14" s="1303"/>
      <c r="AA14" s="1303"/>
      <c r="AB14" s="1292"/>
      <c r="AH14" s="302">
        <v>4</v>
      </c>
      <c r="AI14" s="302" t="s">
        <v>344</v>
      </c>
    </row>
    <row r="15" spans="1:38" x14ac:dyDescent="0.25">
      <c r="A15" s="44" t="s">
        <v>332</v>
      </c>
      <c r="B15" s="44" t="s">
        <v>333</v>
      </c>
      <c r="C15" s="44" t="s">
        <v>334</v>
      </c>
      <c r="D15" s="44">
        <v>55</v>
      </c>
      <c r="E15" s="210">
        <v>334.9869170767999</v>
      </c>
      <c r="F15" s="210">
        <v>310.56399969982903</v>
      </c>
      <c r="G15" s="210">
        <v>320.17135295838068</v>
      </c>
      <c r="H15" s="210">
        <v>307.08661947602315</v>
      </c>
      <c r="I15" s="210">
        <v>313.64574308913973</v>
      </c>
      <c r="J15" s="210">
        <v>1352.3991466802506</v>
      </c>
      <c r="K15" s="210">
        <v>1123.6858768710474</v>
      </c>
      <c r="L15" s="210">
        <v>1242.0113633842361</v>
      </c>
      <c r="M15" s="210">
        <v>1123.5517133465448</v>
      </c>
      <c r="N15" s="210">
        <v>1174.9572235407086</v>
      </c>
      <c r="O15" s="210">
        <v>1519.9498663614056</v>
      </c>
      <c r="P15" s="210">
        <v>1309.3833486592721</v>
      </c>
      <c r="Q15" s="210">
        <v>1415.6933773252299</v>
      </c>
      <c r="R15" s="210">
        <v>1309.230291982836</v>
      </c>
      <c r="S15" s="210">
        <v>1355.8163458936947</v>
      </c>
      <c r="U15" s="182" t="s">
        <v>332</v>
      </c>
      <c r="V15" s="44" t="s">
        <v>333</v>
      </c>
      <c r="W15" s="44" t="s">
        <v>336</v>
      </c>
      <c r="X15" s="1290"/>
      <c r="Y15" s="1303"/>
      <c r="Z15" s="1303"/>
      <c r="AA15" s="1303"/>
      <c r="AB15" s="1292"/>
      <c r="AH15" s="302">
        <v>5</v>
      </c>
      <c r="AI15" s="302" t="s">
        <v>345</v>
      </c>
    </row>
    <row r="16" spans="1:38" x14ac:dyDescent="0.25">
      <c r="A16" s="44" t="s">
        <v>332</v>
      </c>
      <c r="B16" s="44" t="s">
        <v>333</v>
      </c>
      <c r="C16" s="44" t="s">
        <v>334</v>
      </c>
      <c r="D16" s="44">
        <v>60</v>
      </c>
      <c r="E16" s="210">
        <v>328.18777670383423</v>
      </c>
      <c r="F16" s="210">
        <v>308.3311314492081</v>
      </c>
      <c r="G16" s="210">
        <v>314.91011163834185</v>
      </c>
      <c r="H16" s="210">
        <v>306.96442726819646</v>
      </c>
      <c r="I16" s="210">
        <v>311.12268121294341</v>
      </c>
      <c r="J16" s="210">
        <v>1328.4767135058773</v>
      </c>
      <c r="K16" s="210">
        <v>1100.8797931931181</v>
      </c>
      <c r="L16" s="210">
        <v>1215.8260579810849</v>
      </c>
      <c r="M16" s="210">
        <v>1100.7507854510609</v>
      </c>
      <c r="N16" s="210">
        <v>1151.0951911589409</v>
      </c>
      <c r="O16" s="210">
        <v>1483.4860961839454</v>
      </c>
      <c r="P16" s="210">
        <v>1270.8356380901698</v>
      </c>
      <c r="Q16" s="210">
        <v>1378.2080500470124</v>
      </c>
      <c r="R16" s="210">
        <v>1270.6910142548197</v>
      </c>
      <c r="S16" s="210">
        <v>1317.7355004860351</v>
      </c>
      <c r="U16" s="182" t="s">
        <v>332</v>
      </c>
      <c r="V16" s="182" t="s">
        <v>337</v>
      </c>
      <c r="W16" s="182" t="s">
        <v>335</v>
      </c>
      <c r="X16" s="1290"/>
      <c r="Y16" s="1303"/>
      <c r="Z16" s="1303"/>
      <c r="AA16" s="1303"/>
      <c r="AB16" s="1292"/>
    </row>
    <row r="17" spans="1:28" ht="15" customHeight="1" x14ac:dyDescent="0.25">
      <c r="A17" s="44" t="s">
        <v>332</v>
      </c>
      <c r="B17" s="44" t="s">
        <v>333</v>
      </c>
      <c r="C17" s="44" t="s">
        <v>334</v>
      </c>
      <c r="D17" s="44">
        <v>65</v>
      </c>
      <c r="E17" s="210">
        <v>329.73334028732154</v>
      </c>
      <c r="F17" s="210">
        <v>310.20149411722576</v>
      </c>
      <c r="G17" s="210">
        <v>318.67585422454067</v>
      </c>
      <c r="H17" s="210">
        <v>310.1695759108361</v>
      </c>
      <c r="I17" s="210">
        <v>314.10098111588542</v>
      </c>
      <c r="J17" s="210">
        <v>1400.4185963826587</v>
      </c>
      <c r="K17" s="210">
        <v>1191.363370278031</v>
      </c>
      <c r="L17" s="210">
        <v>1296.9284068207417</v>
      </c>
      <c r="M17" s="210">
        <v>1191.2295720240729</v>
      </c>
      <c r="N17" s="210">
        <v>1237.4762737345327</v>
      </c>
      <c r="O17" s="210">
        <v>1530.9171448338111</v>
      </c>
      <c r="P17" s="210">
        <v>1338.0204552932119</v>
      </c>
      <c r="Q17" s="210">
        <v>1435.4006620824618</v>
      </c>
      <c r="R17" s="210">
        <v>1337.8717135481306</v>
      </c>
      <c r="S17" s="210">
        <v>1380.550738091335</v>
      </c>
      <c r="U17" s="182" t="s">
        <v>332</v>
      </c>
      <c r="V17" s="182" t="s">
        <v>337</v>
      </c>
      <c r="W17" s="182" t="s">
        <v>338</v>
      </c>
      <c r="X17" s="1290"/>
      <c r="Y17" s="1303"/>
      <c r="Z17" s="1303"/>
      <c r="AA17" s="1303"/>
      <c r="AB17" s="1292"/>
    </row>
    <row r="18" spans="1:28" ht="15" customHeight="1" x14ac:dyDescent="0.25">
      <c r="A18" s="44" t="s">
        <v>332</v>
      </c>
      <c r="B18" s="44" t="s">
        <v>333</v>
      </c>
      <c r="C18" s="44" t="s">
        <v>334</v>
      </c>
      <c r="D18" s="44">
        <v>70</v>
      </c>
      <c r="E18" s="210">
        <v>337.45215148600556</v>
      </c>
      <c r="F18" s="210">
        <v>321.34102122493437</v>
      </c>
      <c r="G18" s="210">
        <v>329.24661960760653</v>
      </c>
      <c r="H18" s="210">
        <v>321.30871727672411</v>
      </c>
      <c r="I18" s="210">
        <v>324.81884066637582</v>
      </c>
      <c r="J18" s="210">
        <v>1468.6778441235551</v>
      </c>
      <c r="K18" s="210">
        <v>1278.1328266630869</v>
      </c>
      <c r="L18" s="210">
        <v>1374.3326807661715</v>
      </c>
      <c r="M18" s="210">
        <v>1277.9942459847939</v>
      </c>
      <c r="N18" s="210">
        <v>1320.1502430016765</v>
      </c>
      <c r="O18" s="210">
        <v>1571.8981398039202</v>
      </c>
      <c r="P18" s="210">
        <v>1397.8558977932132</v>
      </c>
      <c r="Q18" s="210">
        <v>1485.7016869027289</v>
      </c>
      <c r="R18" s="210">
        <v>1397.7044338681378</v>
      </c>
      <c r="S18" s="210">
        <v>1436.2168851215088</v>
      </c>
      <c r="U18" s="182" t="s">
        <v>339</v>
      </c>
      <c r="V18" s="44" t="s">
        <v>199</v>
      </c>
      <c r="W18" s="44" t="s">
        <v>334</v>
      </c>
      <c r="X18" s="1290"/>
      <c r="Y18" s="1303"/>
      <c r="Z18" s="1303"/>
      <c r="AA18" s="1303"/>
      <c r="AB18" s="1292"/>
    </row>
    <row r="19" spans="1:28" ht="15" customHeight="1" x14ac:dyDescent="0.25">
      <c r="A19" s="44" t="s">
        <v>332</v>
      </c>
      <c r="B19" s="44" t="s">
        <v>333</v>
      </c>
      <c r="C19" s="44" t="s">
        <v>334</v>
      </c>
      <c r="D19" s="44">
        <v>75</v>
      </c>
      <c r="E19" s="210">
        <v>349.31416205733922</v>
      </c>
      <c r="F19" s="210">
        <v>339.41468306021608</v>
      </c>
      <c r="G19" s="210">
        <v>344.3860739158759</v>
      </c>
      <c r="H19" s="210">
        <v>339.38088787449487</v>
      </c>
      <c r="I19" s="210">
        <v>341.5783107509306</v>
      </c>
      <c r="J19" s="210">
        <v>1467.5112784880102</v>
      </c>
      <c r="K19" s="210">
        <v>1282.7527102239303</v>
      </c>
      <c r="L19" s="210">
        <v>1376.0288224040817</v>
      </c>
      <c r="M19" s="210">
        <v>1282.6146203050632</v>
      </c>
      <c r="N19" s="210">
        <v>1323.4918306272073</v>
      </c>
      <c r="O19" s="210">
        <v>1533.4691914007976</v>
      </c>
      <c r="P19" s="210">
        <v>1359.8183609553962</v>
      </c>
      <c r="Q19" s="210">
        <v>1447.4706749708396</v>
      </c>
      <c r="R19" s="210">
        <v>1359.6723478473364</v>
      </c>
      <c r="S19" s="210">
        <v>1398.0964975023212</v>
      </c>
      <c r="U19" s="182" t="s">
        <v>339</v>
      </c>
      <c r="V19" s="44" t="s">
        <v>333</v>
      </c>
      <c r="W19" s="182" t="s">
        <v>335</v>
      </c>
      <c r="X19" s="1290"/>
      <c r="Y19" s="1303"/>
      <c r="Z19" s="1303"/>
      <c r="AA19" s="1303"/>
      <c r="AB19" s="1292"/>
    </row>
    <row r="20" spans="1:28" ht="15" customHeight="1" x14ac:dyDescent="0.25">
      <c r="A20" s="44" t="s">
        <v>332</v>
      </c>
      <c r="B20" s="44" t="s">
        <v>333</v>
      </c>
      <c r="C20" s="44" t="s">
        <v>335</v>
      </c>
      <c r="D20" s="44">
        <v>2.5</v>
      </c>
      <c r="E20" s="210">
        <v>0.58783034739585249</v>
      </c>
      <c r="F20" s="210">
        <v>0.56444925721659645</v>
      </c>
      <c r="G20" s="210">
        <v>0.57555296873413508</v>
      </c>
      <c r="H20" s="210">
        <v>0.56367190952983126</v>
      </c>
      <c r="I20" s="210">
        <v>0.56906928310490856</v>
      </c>
      <c r="J20" s="210">
        <v>22.982923922932798</v>
      </c>
      <c r="K20" s="210">
        <v>19.102674815046594</v>
      </c>
      <c r="L20" s="210">
        <v>22.952932450414082</v>
      </c>
      <c r="M20" s="210">
        <v>19.10812145926975</v>
      </c>
      <c r="N20" s="210">
        <v>20.50715812876528</v>
      </c>
      <c r="O20" s="210">
        <v>14.295862316299996</v>
      </c>
      <c r="P20" s="210">
        <v>14.271189173714518</v>
      </c>
      <c r="Q20" s="210">
        <v>14.345548591259334</v>
      </c>
      <c r="R20" s="210">
        <v>14.275472911725</v>
      </c>
      <c r="S20" s="210">
        <v>14.296363834347218</v>
      </c>
      <c r="U20" s="182" t="s">
        <v>339</v>
      </c>
      <c r="V20" s="44" t="s">
        <v>333</v>
      </c>
      <c r="W20" s="44" t="s">
        <v>336</v>
      </c>
      <c r="X20" s="1290"/>
      <c r="Y20" s="1303"/>
      <c r="Z20" s="1303"/>
      <c r="AA20" s="1303"/>
      <c r="AB20" s="1292"/>
    </row>
    <row r="21" spans="1:28" ht="15" customHeight="1" x14ac:dyDescent="0.25">
      <c r="A21" s="44" t="s">
        <v>332</v>
      </c>
      <c r="B21" s="44" t="s">
        <v>333</v>
      </c>
      <c r="C21" s="44" t="s">
        <v>335</v>
      </c>
      <c r="D21" s="44">
        <v>5</v>
      </c>
      <c r="E21" s="210">
        <v>0.38864768084201523</v>
      </c>
      <c r="F21" s="210">
        <v>0.3921621912708288</v>
      </c>
      <c r="G21" s="210">
        <v>0.39027636472264277</v>
      </c>
      <c r="H21" s="210">
        <v>0.39167901729776788</v>
      </c>
      <c r="I21" s="210">
        <v>0.39114182529661246</v>
      </c>
      <c r="J21" s="210">
        <v>12.135589755154536</v>
      </c>
      <c r="K21" s="210">
        <v>9.6391732025109764</v>
      </c>
      <c r="L21" s="210">
        <v>11.902304846308452</v>
      </c>
      <c r="M21" s="210">
        <v>9.6419093615927594</v>
      </c>
      <c r="N21" s="210">
        <v>10.480742264686732</v>
      </c>
      <c r="O21" s="210">
        <v>7.4033316413367416</v>
      </c>
      <c r="P21" s="210">
        <v>7.2028861194271983</v>
      </c>
      <c r="Q21" s="210">
        <v>7.3214962951735023</v>
      </c>
      <c r="R21" s="210">
        <v>7.2050516699714846</v>
      </c>
      <c r="S21" s="210">
        <v>7.2531209434892867</v>
      </c>
      <c r="U21" s="182" t="s">
        <v>339</v>
      </c>
      <c r="V21" s="182" t="s">
        <v>337</v>
      </c>
      <c r="W21" s="182" t="s">
        <v>335</v>
      </c>
      <c r="X21" s="1290"/>
      <c r="Y21" s="1303"/>
      <c r="Z21" s="1303"/>
      <c r="AA21" s="1303"/>
      <c r="AB21" s="1292"/>
    </row>
    <row r="22" spans="1:28" ht="15" customHeight="1" x14ac:dyDescent="0.25">
      <c r="A22" s="44" t="s">
        <v>332</v>
      </c>
      <c r="B22" s="44" t="s">
        <v>333</v>
      </c>
      <c r="C22" s="44" t="s">
        <v>335</v>
      </c>
      <c r="D22" s="44">
        <v>10</v>
      </c>
      <c r="E22" s="210">
        <v>0.27902157747578565</v>
      </c>
      <c r="F22" s="210">
        <v>0.30289440624197733</v>
      </c>
      <c r="G22" s="210">
        <v>0.28670111076560789</v>
      </c>
      <c r="H22" s="210">
        <v>0.30260951603547986</v>
      </c>
      <c r="I22" s="210">
        <v>0.29630378788251471</v>
      </c>
      <c r="J22" s="210">
        <v>7.1612184042821241</v>
      </c>
      <c r="K22" s="210">
        <v>5.3685187783033435</v>
      </c>
      <c r="L22" s="210">
        <v>7.1295430509187279</v>
      </c>
      <c r="M22" s="210">
        <v>5.3700478373587766</v>
      </c>
      <c r="N22" s="210">
        <v>6.0118287040773088</v>
      </c>
      <c r="O22" s="210">
        <v>4.3357108702645402</v>
      </c>
      <c r="P22" s="210">
        <v>4.3551240093969747</v>
      </c>
      <c r="Q22" s="210">
        <v>4.3478009749564279</v>
      </c>
      <c r="R22" s="210">
        <v>4.3564336133931887</v>
      </c>
      <c r="S22" s="210">
        <v>4.3521262841298798</v>
      </c>
      <c r="U22" s="182" t="s">
        <v>339</v>
      </c>
      <c r="V22" s="182" t="s">
        <v>337</v>
      </c>
      <c r="W22" s="182" t="s">
        <v>338</v>
      </c>
      <c r="X22" s="1293"/>
      <c r="Y22" s="1294"/>
      <c r="Z22" s="1294"/>
      <c r="AA22" s="1294"/>
      <c r="AB22" s="1295"/>
    </row>
    <row r="23" spans="1:28" ht="15" customHeight="1" x14ac:dyDescent="0.25">
      <c r="A23" s="44" t="s">
        <v>332</v>
      </c>
      <c r="B23" s="44" t="s">
        <v>333</v>
      </c>
      <c r="C23" s="44" t="s">
        <v>335</v>
      </c>
      <c r="D23" s="44">
        <v>15</v>
      </c>
      <c r="E23" s="210">
        <v>0.23023009304685754</v>
      </c>
      <c r="F23" s="210">
        <v>0.27036135948319712</v>
      </c>
      <c r="G23" s="210">
        <v>0.23454475982321937</v>
      </c>
      <c r="H23" s="210">
        <v>0.27018850660446203</v>
      </c>
      <c r="I23" s="210">
        <v>0.25693883052318839</v>
      </c>
      <c r="J23" s="210">
        <v>5.6413181976415752</v>
      </c>
      <c r="K23" s="210">
        <v>3.9732264428915651</v>
      </c>
      <c r="L23" s="210">
        <v>5.653050486783977</v>
      </c>
      <c r="M23" s="210">
        <v>3.9743551521178841</v>
      </c>
      <c r="N23" s="210">
        <v>4.5835705994386799</v>
      </c>
      <c r="O23" s="210">
        <v>3.5944464325901548</v>
      </c>
      <c r="P23" s="210">
        <v>3.6391310082088379</v>
      </c>
      <c r="Q23" s="210">
        <v>3.6176282402637376</v>
      </c>
      <c r="R23" s="210">
        <v>3.6402248571224383</v>
      </c>
      <c r="S23" s="210">
        <v>3.6300481937233289</v>
      </c>
    </row>
    <row r="24" spans="1:28" ht="15" customHeight="1" x14ac:dyDescent="0.25">
      <c r="A24" s="44" t="s">
        <v>332</v>
      </c>
      <c r="B24" s="44" t="s">
        <v>333</v>
      </c>
      <c r="C24" s="44" t="s">
        <v>335</v>
      </c>
      <c r="D24" s="44">
        <v>20</v>
      </c>
      <c r="E24" s="210">
        <v>0.20333052742736032</v>
      </c>
      <c r="F24" s="210">
        <v>0.25016686724974441</v>
      </c>
      <c r="G24" s="210">
        <v>0.20229264766426133</v>
      </c>
      <c r="H24" s="210">
        <v>0.25007568962457111</v>
      </c>
      <c r="I24" s="210">
        <v>0.23279939882922165</v>
      </c>
      <c r="J24" s="210">
        <v>4.8343892021141475</v>
      </c>
      <c r="K24" s="210">
        <v>3.5983783128086611</v>
      </c>
      <c r="L24" s="210">
        <v>4.8282358614032566</v>
      </c>
      <c r="M24" s="210">
        <v>3.5994010007824428</v>
      </c>
      <c r="N24" s="210">
        <v>4.0464288491889988</v>
      </c>
      <c r="O24" s="210">
        <v>3.1797041494401892</v>
      </c>
      <c r="P24" s="210">
        <v>3.1673411571446866</v>
      </c>
      <c r="Q24" s="210">
        <v>3.1745552021889787</v>
      </c>
      <c r="R24" s="210">
        <v>3.1682978283808891</v>
      </c>
      <c r="S24" s="210">
        <v>3.1707715992317818</v>
      </c>
    </row>
    <row r="25" spans="1:28" ht="15" customHeight="1" x14ac:dyDescent="0.25">
      <c r="A25" s="44" t="s">
        <v>332</v>
      </c>
      <c r="B25" s="44" t="s">
        <v>333</v>
      </c>
      <c r="C25" s="44" t="s">
        <v>335</v>
      </c>
      <c r="D25" s="44">
        <v>25</v>
      </c>
      <c r="E25" s="210">
        <v>0.20255799573244826</v>
      </c>
      <c r="F25" s="210">
        <v>0.23321131426224764</v>
      </c>
      <c r="G25" s="210">
        <v>0.1994572451600414</v>
      </c>
      <c r="H25" s="210">
        <v>0.23317061254077578</v>
      </c>
      <c r="I25" s="210">
        <v>0.22115496163420698</v>
      </c>
      <c r="J25" s="210">
        <v>4.3248414861334936</v>
      </c>
      <c r="K25" s="210">
        <v>3.3666814267231735</v>
      </c>
      <c r="L25" s="210">
        <v>4.284850165952391</v>
      </c>
      <c r="M25" s="210">
        <v>3.3676421595570423</v>
      </c>
      <c r="N25" s="210">
        <v>3.7039316911858129</v>
      </c>
      <c r="O25" s="210">
        <v>2.9122623739702562</v>
      </c>
      <c r="P25" s="210">
        <v>2.8421457170378521</v>
      </c>
      <c r="Q25" s="210">
        <v>2.8784723630877664</v>
      </c>
      <c r="R25" s="210">
        <v>2.843000241609432</v>
      </c>
      <c r="S25" s="210">
        <v>2.8582720544792806</v>
      </c>
    </row>
    <row r="26" spans="1:28" ht="15" customHeight="1" x14ac:dyDescent="0.25">
      <c r="A26" s="44" t="s">
        <v>332</v>
      </c>
      <c r="B26" s="44" t="s">
        <v>333</v>
      </c>
      <c r="C26" s="44" t="s">
        <v>335</v>
      </c>
      <c r="D26" s="44">
        <v>30</v>
      </c>
      <c r="E26" s="210">
        <v>0.21020227189655263</v>
      </c>
      <c r="F26" s="210">
        <v>0.21475044637808263</v>
      </c>
      <c r="G26" s="210">
        <v>0.20266647023900994</v>
      </c>
      <c r="H26" s="210">
        <v>0.21474670694989936</v>
      </c>
      <c r="I26" s="210">
        <v>0.21092279375935649</v>
      </c>
      <c r="J26" s="210">
        <v>4.1435634187465959</v>
      </c>
      <c r="K26" s="210">
        <v>3.2592289000220429</v>
      </c>
      <c r="L26" s="210">
        <v>4.0822795273118215</v>
      </c>
      <c r="M26" s="210">
        <v>3.2601567151440469</v>
      </c>
      <c r="N26" s="210">
        <v>3.5634858484763519</v>
      </c>
      <c r="O26" s="210">
        <v>2.8406711168029934</v>
      </c>
      <c r="P26" s="210">
        <v>2.7301744300338306</v>
      </c>
      <c r="Q26" s="210">
        <v>2.7868933665267552</v>
      </c>
      <c r="R26" s="210">
        <v>2.7310009227600855</v>
      </c>
      <c r="S26" s="210">
        <v>2.7552072848533751</v>
      </c>
    </row>
    <row r="27" spans="1:28" ht="15" customHeight="1" x14ac:dyDescent="0.25">
      <c r="A27" s="44" t="s">
        <v>332</v>
      </c>
      <c r="B27" s="44" t="s">
        <v>333</v>
      </c>
      <c r="C27" s="44" t="s">
        <v>335</v>
      </c>
      <c r="D27" s="44">
        <v>35</v>
      </c>
      <c r="E27" s="213">
        <v>0.2303310063593004</v>
      </c>
      <c r="F27" s="213">
        <v>0.2140494714911082</v>
      </c>
      <c r="G27" s="213">
        <v>0.21646729346720883</v>
      </c>
      <c r="H27" s="213">
        <v>0.21050472335368942</v>
      </c>
      <c r="I27" s="213">
        <v>0.21441608708446888</v>
      </c>
      <c r="J27" s="213">
        <v>3.650056887373498</v>
      </c>
      <c r="K27" s="213">
        <v>2.8873789060268686</v>
      </c>
      <c r="L27" s="213">
        <v>3.5286278456514713</v>
      </c>
      <c r="M27" s="213">
        <v>2.8881998845022565</v>
      </c>
      <c r="N27" s="213">
        <v>3.1300195513024787</v>
      </c>
      <c r="O27" s="213">
        <v>2.5780002954151313</v>
      </c>
      <c r="P27" s="213">
        <v>2.3886264037306382</v>
      </c>
      <c r="Q27" s="213">
        <v>2.4851410560107969</v>
      </c>
      <c r="R27" s="213">
        <v>2.3893511276216572</v>
      </c>
      <c r="S27" s="213">
        <v>2.4310253967010214</v>
      </c>
    </row>
    <row r="28" spans="1:28" x14ac:dyDescent="0.25">
      <c r="A28" s="44" t="s">
        <v>332</v>
      </c>
      <c r="B28" s="44" t="s">
        <v>333</v>
      </c>
      <c r="C28" s="44" t="s">
        <v>335</v>
      </c>
      <c r="D28" s="44">
        <v>40</v>
      </c>
      <c r="E28" s="210">
        <v>0.24406316272657716</v>
      </c>
      <c r="F28" s="210">
        <v>0.21651833338844684</v>
      </c>
      <c r="G28" s="210">
        <v>0.22650976850703305</v>
      </c>
      <c r="H28" s="210">
        <v>0.20933134195490499</v>
      </c>
      <c r="I28" s="210">
        <v>0.21831727682443872</v>
      </c>
      <c r="J28" s="210">
        <v>3.5250108826008826</v>
      </c>
      <c r="K28" s="210">
        <v>2.73972864382019</v>
      </c>
      <c r="L28" s="210">
        <v>3.3675283689771787</v>
      </c>
      <c r="M28" s="210">
        <v>2.7405091529955126</v>
      </c>
      <c r="N28" s="210">
        <v>2.9801762154011899</v>
      </c>
      <c r="O28" s="210">
        <v>2.5299150941854283</v>
      </c>
      <c r="P28" s="210">
        <v>2.3008889545564437</v>
      </c>
      <c r="Q28" s="210">
        <v>2.4174381057718102</v>
      </c>
      <c r="R28" s="210">
        <v>2.3015923307427744</v>
      </c>
      <c r="S28" s="210">
        <v>2.3520394602043271</v>
      </c>
    </row>
    <row r="29" spans="1:28" x14ac:dyDescent="0.25">
      <c r="A29" s="44" t="s">
        <v>332</v>
      </c>
      <c r="B29" s="44" t="s">
        <v>333</v>
      </c>
      <c r="C29" s="44" t="s">
        <v>335</v>
      </c>
      <c r="D29" s="44">
        <v>45</v>
      </c>
      <c r="E29" s="210">
        <v>0.25247338639362893</v>
      </c>
      <c r="F29" s="210">
        <v>0.21847041855700133</v>
      </c>
      <c r="G29" s="210">
        <v>0.23315607318859044</v>
      </c>
      <c r="H29" s="210">
        <v>0.21005276783204552</v>
      </c>
      <c r="I29" s="210">
        <v>0.2215685602383434</v>
      </c>
      <c r="J29" s="210">
        <v>3.4215539286632186</v>
      </c>
      <c r="K29" s="210">
        <v>2.6257562968124271</v>
      </c>
      <c r="L29" s="210">
        <v>3.2383455442925841</v>
      </c>
      <c r="M29" s="210">
        <v>2.6265051898232494</v>
      </c>
      <c r="N29" s="210">
        <v>2.8625967133157517</v>
      </c>
      <c r="O29" s="210">
        <v>2.487114309947501</v>
      </c>
      <c r="P29" s="210">
        <v>2.2322614781566026</v>
      </c>
      <c r="Q29" s="210">
        <v>2.3618554383391737</v>
      </c>
      <c r="R29" s="210">
        <v>2.2329446444031893</v>
      </c>
      <c r="S29" s="210">
        <v>2.2891081182817983</v>
      </c>
    </row>
    <row r="30" spans="1:28" x14ac:dyDescent="0.25">
      <c r="A30" s="44" t="s">
        <v>332</v>
      </c>
      <c r="B30" s="44" t="s">
        <v>333</v>
      </c>
      <c r="C30" s="44" t="s">
        <v>335</v>
      </c>
      <c r="D30" s="44">
        <v>50</v>
      </c>
      <c r="E30" s="210">
        <v>0.25342446397213902</v>
      </c>
      <c r="F30" s="210">
        <v>0.22052580602042796</v>
      </c>
      <c r="G30" s="210">
        <v>0.23407226062448935</v>
      </c>
      <c r="H30" s="210">
        <v>0.21367272428800757</v>
      </c>
      <c r="I30" s="210">
        <v>0.22389926155973802</v>
      </c>
      <c r="J30" s="210">
        <v>3.3218273214328105</v>
      </c>
      <c r="K30" s="210">
        <v>2.7146235863870434</v>
      </c>
      <c r="L30" s="210">
        <v>3.1203369119808011</v>
      </c>
      <c r="M30" s="210">
        <v>2.7153963922383784</v>
      </c>
      <c r="N30" s="210">
        <v>2.8776372588050507</v>
      </c>
      <c r="O30" s="210">
        <v>2.424316263909291</v>
      </c>
      <c r="P30" s="210">
        <v>2.1523255698663792</v>
      </c>
      <c r="Q30" s="210">
        <v>2.2905675621007093</v>
      </c>
      <c r="R30" s="210">
        <v>2.1529886678781285</v>
      </c>
      <c r="S30" s="210">
        <v>2.2129467193622752</v>
      </c>
    </row>
    <row r="31" spans="1:28" x14ac:dyDescent="0.25">
      <c r="A31" s="44" t="s">
        <v>332</v>
      </c>
      <c r="B31" s="44" t="s">
        <v>333</v>
      </c>
      <c r="C31" s="44" t="s">
        <v>335</v>
      </c>
      <c r="D31" s="44">
        <v>55</v>
      </c>
      <c r="E31" s="210">
        <v>0.25158482728942028</v>
      </c>
      <c r="F31" s="210">
        <v>0.22397697643496681</v>
      </c>
      <c r="G31" s="210">
        <v>0.23310930087200135</v>
      </c>
      <c r="H31" s="210">
        <v>0.21848439763858266</v>
      </c>
      <c r="I31" s="210">
        <v>0.2262768651670285</v>
      </c>
      <c r="J31" s="210">
        <v>3.2325872970201517</v>
      </c>
      <c r="K31" s="210">
        <v>2.7873321518682372</v>
      </c>
      <c r="L31" s="210">
        <v>3.0199206233842322</v>
      </c>
      <c r="M31" s="210">
        <v>2.7881307380886229</v>
      </c>
      <c r="N31" s="210">
        <v>2.8882557389692081</v>
      </c>
      <c r="O31" s="210">
        <v>2.3587249164993169</v>
      </c>
      <c r="P31" s="210">
        <v>2.0769333752234185</v>
      </c>
      <c r="Q31" s="210">
        <v>2.2201077144333725</v>
      </c>
      <c r="R31" s="210">
        <v>2.0775738056776292</v>
      </c>
      <c r="S31" s="210">
        <v>2.1397043589695444</v>
      </c>
    </row>
    <row r="32" spans="1:28" x14ac:dyDescent="0.25">
      <c r="A32" s="44" t="s">
        <v>332</v>
      </c>
      <c r="B32" s="44" t="s">
        <v>333</v>
      </c>
      <c r="C32" s="44" t="s">
        <v>335</v>
      </c>
      <c r="D32" s="44">
        <v>60</v>
      </c>
      <c r="E32" s="210">
        <v>0.25124652251785612</v>
      </c>
      <c r="F32" s="210">
        <v>0.22670368262252591</v>
      </c>
      <c r="G32" s="210">
        <v>0.23450877169364939</v>
      </c>
      <c r="H32" s="210">
        <v>0.22456805197745816</v>
      </c>
      <c r="I32" s="210">
        <v>0.22986393919369691</v>
      </c>
      <c r="J32" s="210">
        <v>3.1558413938840078</v>
      </c>
      <c r="K32" s="210">
        <v>2.7158408509182332</v>
      </c>
      <c r="L32" s="210">
        <v>2.9391678202465226</v>
      </c>
      <c r="M32" s="210">
        <v>2.7166163554599505</v>
      </c>
      <c r="N32" s="210">
        <v>2.8136887835024638</v>
      </c>
      <c r="O32" s="210">
        <v>2.2990747386161177</v>
      </c>
      <c r="P32" s="210">
        <v>2.0179801826995543</v>
      </c>
      <c r="Q32" s="210">
        <v>2.160784044242797</v>
      </c>
      <c r="R32" s="210">
        <v>2.0186009912738525</v>
      </c>
      <c r="S32" s="210">
        <v>2.0805832807502229</v>
      </c>
    </row>
    <row r="33" spans="1:19" x14ac:dyDescent="0.25">
      <c r="A33" s="44" t="s">
        <v>332</v>
      </c>
      <c r="B33" s="44" t="s">
        <v>333</v>
      </c>
      <c r="C33" s="44" t="s">
        <v>335</v>
      </c>
      <c r="D33" s="44">
        <v>65</v>
      </c>
      <c r="E33" s="210">
        <v>0.25976070406622953</v>
      </c>
      <c r="F33" s="210">
        <v>0.23458956114185794</v>
      </c>
      <c r="G33" s="210">
        <v>0.24583254341164623</v>
      </c>
      <c r="H33" s="210">
        <v>0.23462341598561659</v>
      </c>
      <c r="I33" s="210">
        <v>0.23974063293629375</v>
      </c>
      <c r="J33" s="210">
        <v>3.3312226203233748</v>
      </c>
      <c r="K33" s="210">
        <v>2.9378841978607944</v>
      </c>
      <c r="L33" s="210">
        <v>3.1376713039407007</v>
      </c>
      <c r="M33" s="210">
        <v>2.9387234984550212</v>
      </c>
      <c r="N33" s="210">
        <v>3.0254609605826541</v>
      </c>
      <c r="O33" s="210">
        <v>2.3285616803401705</v>
      </c>
      <c r="P33" s="210">
        <v>2.0719196383311504</v>
      </c>
      <c r="Q33" s="210">
        <v>2.2023687993158898</v>
      </c>
      <c r="R33" s="210">
        <v>2.0725567883232054</v>
      </c>
      <c r="S33" s="210">
        <v>2.1291273203960603</v>
      </c>
    </row>
    <row r="34" spans="1:19" x14ac:dyDescent="0.25">
      <c r="A34" s="44" t="s">
        <v>332</v>
      </c>
      <c r="B34" s="44" t="s">
        <v>333</v>
      </c>
      <c r="C34" s="44" t="s">
        <v>335</v>
      </c>
      <c r="D34" s="44">
        <v>70</v>
      </c>
      <c r="E34" s="210">
        <v>0.27603965825753712</v>
      </c>
      <c r="F34" s="210">
        <v>0.25581402448494533</v>
      </c>
      <c r="G34" s="210">
        <v>0.26570837840089151</v>
      </c>
      <c r="H34" s="210">
        <v>0.25584983264172823</v>
      </c>
      <c r="I34" s="210">
        <v>0.26020483722781879</v>
      </c>
      <c r="J34" s="210">
        <v>3.5019169938643677</v>
      </c>
      <c r="K34" s="210">
        <v>3.1518772485215791</v>
      </c>
      <c r="L34" s="210">
        <v>3.3298209642048513</v>
      </c>
      <c r="M34" s="210">
        <v>3.1527755898349299</v>
      </c>
      <c r="N34" s="210">
        <v>3.2299230544735962</v>
      </c>
      <c r="O34" s="210">
        <v>2.3538757361466853</v>
      </c>
      <c r="P34" s="210">
        <v>2.1206567138712384</v>
      </c>
      <c r="Q34" s="210">
        <v>2.2392718948771031</v>
      </c>
      <c r="R34" s="210">
        <v>2.1213054817078136</v>
      </c>
      <c r="S34" s="210">
        <v>2.172694517851165</v>
      </c>
    </row>
    <row r="35" spans="1:19" x14ac:dyDescent="0.25">
      <c r="A35" s="44" t="s">
        <v>332</v>
      </c>
      <c r="B35" s="44" t="s">
        <v>333</v>
      </c>
      <c r="C35" s="44" t="s">
        <v>335</v>
      </c>
      <c r="D35" s="44">
        <v>75</v>
      </c>
      <c r="E35" s="210">
        <v>0.29683118617414972</v>
      </c>
      <c r="F35" s="210">
        <v>0.28413621807714773</v>
      </c>
      <c r="G35" s="210">
        <v>0.29058709489673318</v>
      </c>
      <c r="H35" s="210">
        <v>0.28417519557249371</v>
      </c>
      <c r="I35" s="210">
        <v>0.28696876690632367</v>
      </c>
      <c r="J35" s="210">
        <v>3.5000028490664183</v>
      </c>
      <c r="K35" s="210">
        <v>3.163276554150114</v>
      </c>
      <c r="L35" s="210">
        <v>3.3344945758852087</v>
      </c>
      <c r="M35" s="210">
        <v>3.1641818389751126</v>
      </c>
      <c r="N35" s="210">
        <v>3.2383841732210854</v>
      </c>
      <c r="O35" s="210">
        <v>2.2836453712004006</v>
      </c>
      <c r="P35" s="210">
        <v>2.0511116805693486</v>
      </c>
      <c r="Q35" s="210">
        <v>2.1693580229509348</v>
      </c>
      <c r="R35" s="210">
        <v>2.051738533056465</v>
      </c>
      <c r="S35" s="210">
        <v>2.1029819371538525</v>
      </c>
    </row>
    <row r="36" spans="1:19" x14ac:dyDescent="0.25">
      <c r="A36" s="44" t="s">
        <v>332</v>
      </c>
      <c r="B36" s="44" t="s">
        <v>333</v>
      </c>
      <c r="C36" s="44" t="s">
        <v>336</v>
      </c>
      <c r="D36" s="44">
        <v>2.5</v>
      </c>
      <c r="E36" s="210">
        <v>9.185599758302089E-2</v>
      </c>
      <c r="F36" s="210">
        <v>9.4108099548825402E-2</v>
      </c>
      <c r="G36" s="210">
        <v>9.3869646944245516E-2</v>
      </c>
      <c r="H36" s="210">
        <v>9.2408286133048731E-2</v>
      </c>
      <c r="I36" s="210">
        <v>9.3123565424033591E-2</v>
      </c>
      <c r="J36" s="210">
        <v>1.4196617322431697</v>
      </c>
      <c r="K36" s="210">
        <v>1.2627046084245934</v>
      </c>
      <c r="L36" s="210">
        <v>1.4522805661948039</v>
      </c>
      <c r="M36" s="210">
        <v>1.2569816038307113</v>
      </c>
      <c r="N36" s="210">
        <v>1.3266603028097785</v>
      </c>
      <c r="O36" s="210">
        <v>0.91406910519860407</v>
      </c>
      <c r="P36" s="210">
        <v>0.96317561636457794</v>
      </c>
      <c r="Q36" s="210">
        <v>0.94730114998959603</v>
      </c>
      <c r="R36" s="210">
        <v>0.95793378666551421</v>
      </c>
      <c r="S36" s="210">
        <v>0.95260098449704689</v>
      </c>
    </row>
    <row r="37" spans="1:19" x14ac:dyDescent="0.25">
      <c r="A37" s="44" t="s">
        <v>332</v>
      </c>
      <c r="B37" s="44" t="s">
        <v>333</v>
      </c>
      <c r="C37" s="44" t="s">
        <v>336</v>
      </c>
      <c r="D37" s="44">
        <v>5</v>
      </c>
      <c r="E37" s="210">
        <v>5.1808558541266828E-2</v>
      </c>
      <c r="F37" s="210">
        <v>5.2433967722802746E-2</v>
      </c>
      <c r="G37" s="210">
        <v>5.2610609144061488E-2</v>
      </c>
      <c r="H37" s="210">
        <v>5.1610546487628146E-2</v>
      </c>
      <c r="I37" s="210">
        <v>5.2076313380736386E-2</v>
      </c>
      <c r="J37" s="210">
        <v>0.74409102607332411</v>
      </c>
      <c r="K37" s="210">
        <v>0.63645922975514035</v>
      </c>
      <c r="L37" s="210">
        <v>0.74908706262048785</v>
      </c>
      <c r="M37" s="210">
        <v>0.63359737242914571</v>
      </c>
      <c r="N37" s="210">
        <v>0.67577469326373596</v>
      </c>
      <c r="O37" s="210">
        <v>0.47270578047652595</v>
      </c>
      <c r="P37" s="210">
        <v>0.48502662129443525</v>
      </c>
      <c r="Q37" s="210">
        <v>0.48217377567612124</v>
      </c>
      <c r="R37" s="210">
        <v>0.48240605508673273</v>
      </c>
      <c r="S37" s="210">
        <v>0.48212613809196725</v>
      </c>
    </row>
    <row r="38" spans="1:19" x14ac:dyDescent="0.25">
      <c r="A38" s="44" t="s">
        <v>332</v>
      </c>
      <c r="B38" s="44" t="s">
        <v>333</v>
      </c>
      <c r="C38" s="44" t="s">
        <v>336</v>
      </c>
      <c r="D38" s="44">
        <v>10</v>
      </c>
      <c r="E38" s="210">
        <v>3.1117919867391101E-2</v>
      </c>
      <c r="F38" s="210">
        <v>3.1596881784363803E-2</v>
      </c>
      <c r="G38" s="210">
        <v>3.150429954653558E-2</v>
      </c>
      <c r="H38" s="210">
        <v>3.121163615951416E-2</v>
      </c>
      <c r="I38" s="210">
        <v>3.1365004928744174E-2</v>
      </c>
      <c r="J38" s="210">
        <v>0.43881008682997491</v>
      </c>
      <c r="K38" s="210">
        <v>0.35014700796396553</v>
      </c>
      <c r="L38" s="210">
        <v>0.4434537069170712</v>
      </c>
      <c r="M38" s="210">
        <v>0.3487163763243194</v>
      </c>
      <c r="N38" s="210">
        <v>0.38309276639987111</v>
      </c>
      <c r="O38" s="210">
        <v>0.26123908204911178</v>
      </c>
      <c r="P38" s="210">
        <v>0.26763072550496703</v>
      </c>
      <c r="Q38" s="210">
        <v>0.26513902099841352</v>
      </c>
      <c r="R38" s="210">
        <v>0.26632090511548112</v>
      </c>
      <c r="S38" s="210">
        <v>0.26585617724101018</v>
      </c>
    </row>
    <row r="39" spans="1:19" x14ac:dyDescent="0.25">
      <c r="A39" s="44" t="s">
        <v>332</v>
      </c>
      <c r="B39" s="44" t="s">
        <v>333</v>
      </c>
      <c r="C39" s="44" t="s">
        <v>336</v>
      </c>
      <c r="D39" s="44">
        <v>15</v>
      </c>
      <c r="E39" s="210">
        <v>2.3579873012942121E-2</v>
      </c>
      <c r="F39" s="210">
        <v>2.4651206176481439E-2</v>
      </c>
      <c r="G39" s="210">
        <v>2.3874303234614237E-2</v>
      </c>
      <c r="H39" s="210">
        <v>2.4412000609021243E-2</v>
      </c>
      <c r="I39" s="210">
        <v>2.4241567449671101E-2</v>
      </c>
      <c r="J39" s="210">
        <v>0.33612313203309185</v>
      </c>
      <c r="K39" s="210">
        <v>0.25630379426374839</v>
      </c>
      <c r="L39" s="210">
        <v>0.33896289680594266</v>
      </c>
      <c r="M39" s="210">
        <v>0.25534982207319229</v>
      </c>
      <c r="N39" s="210">
        <v>0.28572347782831398</v>
      </c>
      <c r="O39" s="210">
        <v>0.19908152691461078</v>
      </c>
      <c r="P39" s="210">
        <v>0.2032042772573113</v>
      </c>
      <c r="Q39" s="210">
        <v>0.20146497848924139</v>
      </c>
      <c r="R39" s="210">
        <v>0.20233150803700903</v>
      </c>
      <c r="S39" s="210">
        <v>0.2020093231025612</v>
      </c>
    </row>
    <row r="40" spans="1:19" x14ac:dyDescent="0.25">
      <c r="A40" s="44" t="s">
        <v>332</v>
      </c>
      <c r="B40" s="44" t="s">
        <v>333</v>
      </c>
      <c r="C40" s="44" t="s">
        <v>336</v>
      </c>
      <c r="D40" s="44">
        <v>20</v>
      </c>
      <c r="E40" s="210">
        <v>1.8511636159950291E-2</v>
      </c>
      <c r="F40" s="210">
        <v>2.074636654212831E-2</v>
      </c>
      <c r="G40" s="210">
        <v>1.8556021448939523E-2</v>
      </c>
      <c r="H40" s="210">
        <v>2.0576859844773334E-2</v>
      </c>
      <c r="I40" s="210">
        <v>1.9872267987554926E-2</v>
      </c>
      <c r="J40" s="210">
        <v>0.28456326356835449</v>
      </c>
      <c r="K40" s="210">
        <v>0.22537136781286118</v>
      </c>
      <c r="L40" s="210">
        <v>0.28550442653181984</v>
      </c>
      <c r="M40" s="210">
        <v>0.22465606249618619</v>
      </c>
      <c r="N40" s="210">
        <v>0.24684900963461487</v>
      </c>
      <c r="O40" s="210">
        <v>0.16407156253334634</v>
      </c>
      <c r="P40" s="210">
        <v>0.16587666370714463</v>
      </c>
      <c r="Q40" s="210">
        <v>0.16522339458223845</v>
      </c>
      <c r="R40" s="210">
        <v>0.16522248502509912</v>
      </c>
      <c r="S40" s="210">
        <v>0.16526524500606957</v>
      </c>
    </row>
    <row r="41" spans="1:19" x14ac:dyDescent="0.25">
      <c r="A41" s="44" t="s">
        <v>332</v>
      </c>
      <c r="B41" s="44" t="s">
        <v>333</v>
      </c>
      <c r="C41" s="44" t="s">
        <v>336</v>
      </c>
      <c r="D41" s="44">
        <v>25</v>
      </c>
      <c r="E41" s="210">
        <v>1.5611282692281656E-2</v>
      </c>
      <c r="F41" s="210">
        <v>1.7533793859504033E-2</v>
      </c>
      <c r="G41" s="210">
        <v>1.5509855308263007E-2</v>
      </c>
      <c r="H41" s="210">
        <v>1.7399388043479125E-2</v>
      </c>
      <c r="I41" s="210">
        <v>1.6746583105527492E-2</v>
      </c>
      <c r="J41" s="210">
        <v>0.24857561895269276</v>
      </c>
      <c r="K41" s="210">
        <v>0.20416795267562393</v>
      </c>
      <c r="L41" s="210">
        <v>0.24705371282145885</v>
      </c>
      <c r="M41" s="210">
        <v>0.20359583946204532</v>
      </c>
      <c r="N41" s="210">
        <v>0.21962329959539928</v>
      </c>
      <c r="O41" s="210">
        <v>0.14590547695697673</v>
      </c>
      <c r="P41" s="210">
        <v>0.14665013155507545</v>
      </c>
      <c r="Q41" s="210">
        <v>0.14648159803481145</v>
      </c>
      <c r="R41" s="210">
        <v>0.14612694811114382</v>
      </c>
      <c r="S41" s="210">
        <v>0.14631579971071562</v>
      </c>
    </row>
    <row r="42" spans="1:19" x14ac:dyDescent="0.25">
      <c r="A42" s="44" t="s">
        <v>332</v>
      </c>
      <c r="B42" s="44" t="s">
        <v>333</v>
      </c>
      <c r="C42" s="44" t="s">
        <v>336</v>
      </c>
      <c r="D42" s="44">
        <v>30</v>
      </c>
      <c r="E42" s="210">
        <v>1.4830587987583825E-2</v>
      </c>
      <c r="F42" s="210">
        <v>1.4495876056738995E-2</v>
      </c>
      <c r="G42" s="210">
        <v>1.4088387131360656E-2</v>
      </c>
      <c r="H42" s="210">
        <v>1.4388203525507091E-2</v>
      </c>
      <c r="I42" s="210">
        <v>1.4356334255586687E-2</v>
      </c>
      <c r="J42" s="210">
        <v>0.23395832500401825</v>
      </c>
      <c r="K42" s="210">
        <v>0.19341587942397243</v>
      </c>
      <c r="L42" s="210">
        <v>0.23082011641835978</v>
      </c>
      <c r="M42" s="210">
        <v>0.19293913118812939</v>
      </c>
      <c r="N42" s="210">
        <v>0.20704187096650192</v>
      </c>
      <c r="O42" s="210">
        <v>0.13417240695573918</v>
      </c>
      <c r="P42" s="210">
        <v>0.13354399058188077</v>
      </c>
      <c r="Q42" s="210">
        <v>0.1340362885654845</v>
      </c>
      <c r="R42" s="210">
        <v>0.13310869045192097</v>
      </c>
      <c r="S42" s="210">
        <v>0.13354212086473655</v>
      </c>
    </row>
    <row r="43" spans="1:19" x14ac:dyDescent="0.25">
      <c r="A43" s="44" t="s">
        <v>332</v>
      </c>
      <c r="B43" s="44" t="s">
        <v>333</v>
      </c>
      <c r="C43" s="44" t="s">
        <v>336</v>
      </c>
      <c r="D43" s="44">
        <v>35</v>
      </c>
      <c r="E43" s="213">
        <v>1.6391537040872275E-2</v>
      </c>
      <c r="F43" s="213">
        <v>1.2411028186234593E-2</v>
      </c>
      <c r="G43" s="213">
        <v>1.4098365523116246E-2</v>
      </c>
      <c r="H43" s="213">
        <v>1.2190571334846936E-2</v>
      </c>
      <c r="I43" s="213">
        <v>1.310035453112551E-2</v>
      </c>
      <c r="J43" s="213">
        <v>0.19664687997025665</v>
      </c>
      <c r="K43" s="213">
        <v>0.16249466150184416</v>
      </c>
      <c r="L43" s="213">
        <v>0.18851547272871097</v>
      </c>
      <c r="M43" s="213">
        <v>0.16208611224647299</v>
      </c>
      <c r="N43" s="213">
        <v>0.17238785139555748</v>
      </c>
      <c r="O43" s="213">
        <v>0.10976467213011151</v>
      </c>
      <c r="P43" s="213">
        <v>0.10392039631410663</v>
      </c>
      <c r="Q43" s="213">
        <v>0.10702714282755307</v>
      </c>
      <c r="R43" s="213">
        <v>0.10354813979948295</v>
      </c>
      <c r="S43" s="213">
        <v>0.10509258834592984</v>
      </c>
    </row>
    <row r="44" spans="1:19" x14ac:dyDescent="0.25">
      <c r="A44" s="44" t="s">
        <v>332</v>
      </c>
      <c r="B44" s="44" t="s">
        <v>333</v>
      </c>
      <c r="C44" s="44" t="s">
        <v>336</v>
      </c>
      <c r="D44" s="44">
        <v>40</v>
      </c>
      <c r="E44" s="210">
        <v>1.7578524207170133E-2</v>
      </c>
      <c r="F44" s="210">
        <v>1.0880756146113668E-2</v>
      </c>
      <c r="G44" s="210">
        <v>1.4108786134124944E-2</v>
      </c>
      <c r="H44" s="210">
        <v>1.0545949747794867E-2</v>
      </c>
      <c r="I44" s="210">
        <v>1.2168609996879068E-2</v>
      </c>
      <c r="J44" s="210">
        <v>0.18341916828518098</v>
      </c>
      <c r="K44" s="210">
        <v>0.14654115547553273</v>
      </c>
      <c r="L44" s="210">
        <v>0.17090209499157566</v>
      </c>
      <c r="M44" s="210">
        <v>0.14618347514092628</v>
      </c>
      <c r="N44" s="210">
        <v>0.15618338528722728</v>
      </c>
      <c r="O44" s="210">
        <v>0.10148632980709807</v>
      </c>
      <c r="P44" s="210">
        <v>9.2311283861068405E-2</v>
      </c>
      <c r="Q44" s="210">
        <v>9.7086132032848008E-2</v>
      </c>
      <c r="R44" s="210">
        <v>9.1986489529705742E-2</v>
      </c>
      <c r="S44" s="210">
        <v>9.4235959805464467E-2</v>
      </c>
    </row>
    <row r="45" spans="1:19" x14ac:dyDescent="0.25">
      <c r="A45" s="44" t="s">
        <v>332</v>
      </c>
      <c r="B45" s="44" t="s">
        <v>333</v>
      </c>
      <c r="C45" s="44" t="s">
        <v>336</v>
      </c>
      <c r="D45" s="44">
        <v>45</v>
      </c>
      <c r="E45" s="210">
        <v>1.8106383114939846E-2</v>
      </c>
      <c r="F45" s="210">
        <v>9.6905270232854092E-3</v>
      </c>
      <c r="G45" s="210">
        <v>1.391531727297934E-2</v>
      </c>
      <c r="H45" s="210">
        <v>9.2913991128538327E-3</v>
      </c>
      <c r="I45" s="210">
        <v>1.1366840700664715E-2</v>
      </c>
      <c r="J45" s="210">
        <v>0.17104005565822045</v>
      </c>
      <c r="K45" s="210">
        <v>0.13398444197722265</v>
      </c>
      <c r="L45" s="210">
        <v>0.15600577479460517</v>
      </c>
      <c r="M45" s="210">
        <v>0.13366665073786763</v>
      </c>
      <c r="N45" s="210">
        <v>0.14298308649510533</v>
      </c>
      <c r="O45" s="210">
        <v>9.4860675460428256E-2</v>
      </c>
      <c r="P45" s="210">
        <v>8.3325052515477158E-2</v>
      </c>
      <c r="Q45" s="210">
        <v>8.928108640098556E-2</v>
      </c>
      <c r="R45" s="210">
        <v>8.3037069991582391E-2</v>
      </c>
      <c r="S45" s="210">
        <v>8.5784125040235526E-2</v>
      </c>
    </row>
    <row r="46" spans="1:19" x14ac:dyDescent="0.25">
      <c r="A46" s="44" t="s">
        <v>332</v>
      </c>
      <c r="B46" s="44" t="s">
        <v>333</v>
      </c>
      <c r="C46" s="44" t="s">
        <v>336</v>
      </c>
      <c r="D46" s="44">
        <v>50</v>
      </c>
      <c r="E46" s="210">
        <v>1.7438184587254262E-2</v>
      </c>
      <c r="F46" s="210">
        <v>8.775849968561681E-3</v>
      </c>
      <c r="G46" s="210">
        <v>1.3109377194806718E-2</v>
      </c>
      <c r="H46" s="210">
        <v>8.329465395587831E-3</v>
      </c>
      <c r="I46" s="210">
        <v>1.0481320894359134E-2</v>
      </c>
      <c r="J46" s="210">
        <v>0.15881695180604377</v>
      </c>
      <c r="K46" s="210">
        <v>0.12114411702380001</v>
      </c>
      <c r="L46" s="210">
        <v>0.14178255699796441</v>
      </c>
      <c r="M46" s="210">
        <v>0.12085860751740907</v>
      </c>
      <c r="N46" s="210">
        <v>0.12980474062691727</v>
      </c>
      <c r="O46" s="210">
        <v>8.5531344964644609E-2</v>
      </c>
      <c r="P46" s="210">
        <v>7.1951103938464475E-2</v>
      </c>
      <c r="Q46" s="210">
        <v>7.893056255347955E-2</v>
      </c>
      <c r="R46" s="210">
        <v>7.1692719601016017E-2</v>
      </c>
      <c r="S46" s="210">
        <v>7.4872138024633939E-2</v>
      </c>
    </row>
    <row r="47" spans="1:19" x14ac:dyDescent="0.25">
      <c r="A47" s="44" t="s">
        <v>332</v>
      </c>
      <c r="B47" s="44" t="s">
        <v>333</v>
      </c>
      <c r="C47" s="44" t="s">
        <v>336</v>
      </c>
      <c r="D47" s="44">
        <v>55</v>
      </c>
      <c r="E47" s="210">
        <v>1.5584888481981224E-2</v>
      </c>
      <c r="F47" s="210">
        <v>8.1770684400560758E-3</v>
      </c>
      <c r="G47" s="210">
        <v>1.1758569329075793E-2</v>
      </c>
      <c r="H47" s="210">
        <v>7.7424509505686721E-3</v>
      </c>
      <c r="I47" s="210">
        <v>9.5764609288771403E-3</v>
      </c>
      <c r="J47" s="210">
        <v>0.14766041437357508</v>
      </c>
      <c r="K47" s="210">
        <v>0.11063836829251132</v>
      </c>
      <c r="L47" s="210">
        <v>0.12956095014422481</v>
      </c>
      <c r="M47" s="210">
        <v>0.11037939271446555</v>
      </c>
      <c r="N47" s="210">
        <v>0.11876699379903925</v>
      </c>
      <c r="O47" s="210">
        <v>7.5258402817267867E-2</v>
      </c>
      <c r="P47" s="210">
        <v>6.0292878859943173E-2</v>
      </c>
      <c r="Q47" s="210">
        <v>6.7966198551727461E-2</v>
      </c>
      <c r="R47" s="210">
        <v>6.0058728234262018E-2</v>
      </c>
      <c r="S47" s="210">
        <v>6.3528873404053568E-2</v>
      </c>
    </row>
    <row r="48" spans="1:19" x14ac:dyDescent="0.25">
      <c r="A48" s="44" t="s">
        <v>332</v>
      </c>
      <c r="B48" s="44" t="s">
        <v>333</v>
      </c>
      <c r="C48" s="44" t="s">
        <v>336</v>
      </c>
      <c r="D48" s="44">
        <v>60</v>
      </c>
      <c r="E48" s="210">
        <v>1.4083928883248354E-2</v>
      </c>
      <c r="F48" s="210">
        <v>7.6780936100296565E-3</v>
      </c>
      <c r="G48" s="210">
        <v>1.0732709135719241E-2</v>
      </c>
      <c r="H48" s="210">
        <v>7.4916861750562135E-3</v>
      </c>
      <c r="I48" s="210">
        <v>8.9591255195988727E-3</v>
      </c>
      <c r="J48" s="210">
        <v>0.13842082375794357</v>
      </c>
      <c r="K48" s="210">
        <v>0.10106894139803625</v>
      </c>
      <c r="L48" s="210">
        <v>0.12005083039733928</v>
      </c>
      <c r="M48" s="210">
        <v>0.1008316679277927</v>
      </c>
      <c r="N48" s="210">
        <v>0.10924902450179173</v>
      </c>
      <c r="O48" s="210">
        <v>6.9146173333707331E-2</v>
      </c>
      <c r="P48" s="210">
        <v>5.4253319580960559E-2</v>
      </c>
      <c r="Q48" s="210">
        <v>6.1878945334522269E-2</v>
      </c>
      <c r="R48" s="210">
        <v>5.4039074138251042E-2</v>
      </c>
      <c r="S48" s="210">
        <v>5.7478832564260139E-2</v>
      </c>
    </row>
    <row r="49" spans="1:19" x14ac:dyDescent="0.25">
      <c r="A49" s="44" t="s">
        <v>332</v>
      </c>
      <c r="B49" s="44" t="s">
        <v>333</v>
      </c>
      <c r="C49" s="44" t="s">
        <v>336</v>
      </c>
      <c r="D49" s="44">
        <v>65</v>
      </c>
      <c r="E49" s="210">
        <v>1.3014738018701101E-2</v>
      </c>
      <c r="F49" s="210">
        <v>7.4464740552846248E-3</v>
      </c>
      <c r="G49" s="210">
        <v>1.0209569953620481E-2</v>
      </c>
      <c r="H49" s="210">
        <v>7.419950249225594E-3</v>
      </c>
      <c r="I49" s="210">
        <v>8.6505984534234279E-3</v>
      </c>
      <c r="J49" s="210">
        <v>0.13692803197705714</v>
      </c>
      <c r="K49" s="210">
        <v>0.10126498538219464</v>
      </c>
      <c r="L49" s="210">
        <v>0.11938555409175217</v>
      </c>
      <c r="M49" s="210">
        <v>0.1010460472733105</v>
      </c>
      <c r="N49" s="210">
        <v>0.10907766682732521</v>
      </c>
      <c r="O49" s="210">
        <v>6.808731084303879E-2</v>
      </c>
      <c r="P49" s="210">
        <v>5.4444557098407426E-2</v>
      </c>
      <c r="Q49" s="210">
        <v>6.1430736303758685E-2</v>
      </c>
      <c r="R49" s="210">
        <v>5.4247019381920197E-2</v>
      </c>
      <c r="S49" s="210">
        <v>5.7398947992155683E-2</v>
      </c>
    </row>
    <row r="50" spans="1:19" x14ac:dyDescent="0.25">
      <c r="A50" s="44" t="s">
        <v>332</v>
      </c>
      <c r="B50" s="44" t="s">
        <v>333</v>
      </c>
      <c r="C50" s="44" t="s">
        <v>336</v>
      </c>
      <c r="D50" s="44">
        <v>70</v>
      </c>
      <c r="E50" s="210">
        <v>1.2406360668496754E-2</v>
      </c>
      <c r="F50" s="210">
        <v>7.731341480704583E-3</v>
      </c>
      <c r="G50" s="210">
        <v>1.0115891631015691E-2</v>
      </c>
      <c r="H50" s="210">
        <v>7.7146733288131503E-3</v>
      </c>
      <c r="I50" s="210">
        <v>8.7634152834958953E-3</v>
      </c>
      <c r="J50" s="210">
        <v>0.13453444162009931</v>
      </c>
      <c r="K50" s="210">
        <v>0.10210761985097608</v>
      </c>
      <c r="L50" s="210">
        <v>0.1185854830855884</v>
      </c>
      <c r="M50" s="210">
        <v>0.10190440262013829</v>
      </c>
      <c r="N50" s="210">
        <v>0.10920999556013809</v>
      </c>
      <c r="O50" s="210">
        <v>6.6900498941380948E-2</v>
      </c>
      <c r="P50" s="210">
        <v>5.4625534712873978E-2</v>
      </c>
      <c r="Q50" s="210">
        <v>6.0913950694549322E-2</v>
      </c>
      <c r="R50" s="210">
        <v>5.4442334533875571E-2</v>
      </c>
      <c r="S50" s="210">
        <v>5.728209027415427E-2</v>
      </c>
    </row>
    <row r="51" spans="1:19" x14ac:dyDescent="0.25">
      <c r="A51" s="44" t="s">
        <v>332</v>
      </c>
      <c r="B51" s="44" t="s">
        <v>333</v>
      </c>
      <c r="C51" s="44" t="s">
        <v>336</v>
      </c>
      <c r="D51" s="44">
        <v>75</v>
      </c>
      <c r="E51" s="210">
        <v>1.2507742517926673E-2</v>
      </c>
      <c r="F51" s="210">
        <v>8.6872105797113491E-3</v>
      </c>
      <c r="G51" s="210">
        <v>1.0716391600749615E-2</v>
      </c>
      <c r="H51" s="210">
        <v>8.684032859431522E-3</v>
      </c>
      <c r="I51" s="210">
        <v>9.5584281189625437E-3</v>
      </c>
      <c r="J51" s="210">
        <v>0.13049923227717006</v>
      </c>
      <c r="K51" s="210">
        <v>9.9521390218019451E-2</v>
      </c>
      <c r="L51" s="210">
        <v>0.11526133704028882</v>
      </c>
      <c r="M51" s="210">
        <v>9.9331772455406905E-2</v>
      </c>
      <c r="N51" s="210">
        <v>0.10630791806744529</v>
      </c>
      <c r="O51" s="210">
        <v>6.4048475828794416E-2</v>
      </c>
      <c r="P51" s="210">
        <v>5.2342938892378954E-2</v>
      </c>
      <c r="Q51" s="210">
        <v>5.8338091473775187E-2</v>
      </c>
      <c r="R51" s="210">
        <v>5.2172041378245479E-2</v>
      </c>
      <c r="S51" s="210">
        <v>5.4877482407039185E-2</v>
      </c>
    </row>
    <row r="52" spans="1:19" x14ac:dyDescent="0.25">
      <c r="A52" s="44" t="s">
        <v>332</v>
      </c>
      <c r="B52" s="44" t="s">
        <v>337</v>
      </c>
      <c r="C52" s="44" t="s">
        <v>335</v>
      </c>
      <c r="D52" s="44">
        <v>2.5</v>
      </c>
      <c r="E52" s="210">
        <v>0.93952660517803688</v>
      </c>
      <c r="F52" s="210">
        <v>0.94972825802430705</v>
      </c>
      <c r="G52" s="210">
        <v>0.95013974297335413</v>
      </c>
      <c r="H52" s="210">
        <v>0.95927208261934604</v>
      </c>
      <c r="I52" s="210">
        <v>0.95342928528343274</v>
      </c>
      <c r="J52" s="210">
        <v>20.035904460355997</v>
      </c>
      <c r="K52" s="210">
        <v>16.708457524018947</v>
      </c>
      <c r="L52" s="210">
        <v>20.082655755446087</v>
      </c>
      <c r="M52" s="210">
        <v>16.703839002734853</v>
      </c>
      <c r="N52" s="210">
        <v>17.919138594184712</v>
      </c>
      <c r="O52" s="210">
        <v>12.472282292506115</v>
      </c>
      <c r="P52" s="210">
        <v>12.370404408012517</v>
      </c>
      <c r="Q52" s="210">
        <v>12.413218093470514</v>
      </c>
      <c r="R52" s="210">
        <v>12.366780215350921</v>
      </c>
      <c r="S52" s="210">
        <v>12.387894695219485</v>
      </c>
    </row>
    <row r="53" spans="1:19" x14ac:dyDescent="0.25">
      <c r="A53" s="44" t="s">
        <v>332</v>
      </c>
      <c r="B53" s="44" t="s">
        <v>337</v>
      </c>
      <c r="C53" s="44" t="s">
        <v>335</v>
      </c>
      <c r="D53" s="44">
        <v>5</v>
      </c>
      <c r="E53" s="210">
        <v>0.63704558816033108</v>
      </c>
      <c r="F53" s="210">
        <v>0.63030308177389771</v>
      </c>
      <c r="G53" s="210">
        <v>0.61319860057852715</v>
      </c>
      <c r="H53" s="210">
        <v>0.63636765878417845</v>
      </c>
      <c r="I53" s="210">
        <v>0.62829669999719029</v>
      </c>
      <c r="J53" s="210">
        <v>10.199312828802768</v>
      </c>
      <c r="K53" s="210">
        <v>8.4310623571052492</v>
      </c>
      <c r="L53" s="210">
        <v>10.506089143195206</v>
      </c>
      <c r="M53" s="210">
        <v>8.4287413662182722</v>
      </c>
      <c r="N53" s="210">
        <v>9.158570740540819</v>
      </c>
      <c r="O53" s="210">
        <v>6.2718415386419712</v>
      </c>
      <c r="P53" s="210">
        <v>6.2429617551954868</v>
      </c>
      <c r="Q53" s="210">
        <v>6.3797657952720579</v>
      </c>
      <c r="R53" s="210">
        <v>6.2411424278523349</v>
      </c>
      <c r="S53" s="210">
        <v>6.2847483246159515</v>
      </c>
    </row>
    <row r="54" spans="1:19" x14ac:dyDescent="0.25">
      <c r="A54" s="44" t="s">
        <v>332</v>
      </c>
      <c r="B54" s="44" t="s">
        <v>337</v>
      </c>
      <c r="C54" s="44" t="s">
        <v>335</v>
      </c>
      <c r="D54" s="44">
        <v>10</v>
      </c>
      <c r="E54" s="210">
        <v>0.43715016057183226</v>
      </c>
      <c r="F54" s="210">
        <v>0.44260972750315408</v>
      </c>
      <c r="G54" s="210">
        <v>0.40787965942888815</v>
      </c>
      <c r="H54" s="210">
        <v>0.44642562369520061</v>
      </c>
      <c r="I54" s="210">
        <v>0.43359766471202343</v>
      </c>
      <c r="J54" s="210">
        <v>6.2041924403133892</v>
      </c>
      <c r="K54" s="210">
        <v>4.6957840282843231</v>
      </c>
      <c r="L54" s="210">
        <v>6.2476099371209841</v>
      </c>
      <c r="M54" s="210">
        <v>4.6944921042020704</v>
      </c>
      <c r="N54" s="210">
        <v>5.2515951284392077</v>
      </c>
      <c r="O54" s="210">
        <v>3.7760405877062779</v>
      </c>
      <c r="P54" s="210">
        <v>3.7737726392446809</v>
      </c>
      <c r="Q54" s="210">
        <v>3.7619637505093206</v>
      </c>
      <c r="R54" s="210">
        <v>3.7726701417824127</v>
      </c>
      <c r="S54" s="210">
        <v>3.7699052618924482</v>
      </c>
    </row>
    <row r="55" spans="1:19" x14ac:dyDescent="0.25">
      <c r="A55" s="44" t="s">
        <v>332</v>
      </c>
      <c r="B55" s="44" t="s">
        <v>337</v>
      </c>
      <c r="C55" s="44" t="s">
        <v>335</v>
      </c>
      <c r="D55" s="44">
        <v>15</v>
      </c>
      <c r="E55" s="210">
        <v>0.27374624906182532</v>
      </c>
      <c r="F55" s="210">
        <v>0.3551735479678263</v>
      </c>
      <c r="G55" s="210">
        <v>0.26406101855027991</v>
      </c>
      <c r="H55" s="210">
        <v>0.35778647676561615</v>
      </c>
      <c r="I55" s="210">
        <v>0.32410247255523428</v>
      </c>
      <c r="J55" s="210">
        <v>4.9515378474218954</v>
      </c>
      <c r="K55" s="210">
        <v>3.4754155587749613</v>
      </c>
      <c r="L55" s="210">
        <v>4.9380253617412757</v>
      </c>
      <c r="M55" s="210">
        <v>3.4744579969743383</v>
      </c>
      <c r="N55" s="210">
        <v>4.0027650452915156</v>
      </c>
      <c r="O55" s="210">
        <v>3.1524673776694905</v>
      </c>
      <c r="P55" s="210">
        <v>3.152602153118901</v>
      </c>
      <c r="Q55" s="210">
        <v>3.1227623804977136</v>
      </c>
      <c r="R55" s="210">
        <v>3.1516770555210289</v>
      </c>
      <c r="S55" s="210">
        <v>3.1432868394325504</v>
      </c>
    </row>
    <row r="56" spans="1:19" x14ac:dyDescent="0.25">
      <c r="A56" s="44" t="s">
        <v>332</v>
      </c>
      <c r="B56" s="44" t="s">
        <v>337</v>
      </c>
      <c r="C56" s="44" t="s">
        <v>335</v>
      </c>
      <c r="D56" s="44">
        <v>20</v>
      </c>
      <c r="E56" s="210">
        <v>0.20400695141454864</v>
      </c>
      <c r="F56" s="210">
        <v>0.29508701749172622</v>
      </c>
      <c r="G56" s="210">
        <v>0.20634129202672571</v>
      </c>
      <c r="H56" s="210">
        <v>0.29683611638403867</v>
      </c>
      <c r="I56" s="210">
        <v>0.26374161717921218</v>
      </c>
      <c r="J56" s="210">
        <v>4.2148028622052083</v>
      </c>
      <c r="K56" s="210">
        <v>3.1472429342378474</v>
      </c>
      <c r="L56" s="210">
        <v>4.2241409791727751</v>
      </c>
      <c r="M56" s="210">
        <v>3.1463763726419764</v>
      </c>
      <c r="N56" s="210">
        <v>3.5342544747849929</v>
      </c>
      <c r="O56" s="210">
        <v>2.7430771459580825</v>
      </c>
      <c r="P56" s="210">
        <v>2.7427038053875301</v>
      </c>
      <c r="Q56" s="210">
        <v>2.748672227288981</v>
      </c>
      <c r="R56" s="210">
        <v>2.7418964086621029</v>
      </c>
      <c r="S56" s="210">
        <v>2.744150583812671</v>
      </c>
    </row>
    <row r="57" spans="1:19" x14ac:dyDescent="0.25">
      <c r="A57" s="44" t="s">
        <v>332</v>
      </c>
      <c r="B57" s="44" t="s">
        <v>337</v>
      </c>
      <c r="C57" s="44" t="s">
        <v>335</v>
      </c>
      <c r="D57" s="44">
        <v>25</v>
      </c>
      <c r="E57" s="210">
        <v>0.19224686043437589</v>
      </c>
      <c r="F57" s="210">
        <v>0.25358236158497871</v>
      </c>
      <c r="G57" s="210">
        <v>0.19813661213149097</v>
      </c>
      <c r="H57" s="210">
        <v>0.25478474204337848</v>
      </c>
      <c r="I57" s="210">
        <v>0.23377204681784475</v>
      </c>
      <c r="J57" s="210">
        <v>3.7103196630777435</v>
      </c>
      <c r="K57" s="210">
        <v>2.9444045337564289</v>
      </c>
      <c r="L57" s="210">
        <v>3.7632999411873329</v>
      </c>
      <c r="M57" s="210">
        <v>2.9435903680331768</v>
      </c>
      <c r="N57" s="210">
        <v>3.2357806495614456</v>
      </c>
      <c r="O57" s="210">
        <v>2.4619623266827073</v>
      </c>
      <c r="P57" s="210">
        <v>2.4610683295456313</v>
      </c>
      <c r="Q57" s="210">
        <v>2.5034466011092062</v>
      </c>
      <c r="R57" s="210">
        <v>2.4603433657039155</v>
      </c>
      <c r="S57" s="210">
        <v>2.4734418378518201</v>
      </c>
    </row>
    <row r="58" spans="1:19" x14ac:dyDescent="0.25">
      <c r="A58" s="44" t="s">
        <v>332</v>
      </c>
      <c r="B58" s="44" t="s">
        <v>337</v>
      </c>
      <c r="C58" s="44" t="s">
        <v>335</v>
      </c>
      <c r="D58" s="44">
        <v>30</v>
      </c>
      <c r="E58" s="210">
        <v>0.1859613895726781</v>
      </c>
      <c r="F58" s="210">
        <v>0.21732179231138127</v>
      </c>
      <c r="G58" s="210">
        <v>0.19841461712332986</v>
      </c>
      <c r="H58" s="210">
        <v>0.21810500213284603</v>
      </c>
      <c r="I58" s="210">
        <v>0.21008297062659273</v>
      </c>
      <c r="J58" s="210">
        <v>3.5145066911040108</v>
      </c>
      <c r="K58" s="210">
        <v>2.8503052432047276</v>
      </c>
      <c r="L58" s="210">
        <v>3.5950151899088501</v>
      </c>
      <c r="M58" s="210">
        <v>2.8495200054298504</v>
      </c>
      <c r="N58" s="210">
        <v>3.1132591754289844</v>
      </c>
      <c r="O58" s="210">
        <v>2.3640239962641645</v>
      </c>
      <c r="P58" s="210">
        <v>2.3627481791049472</v>
      </c>
      <c r="Q58" s="210">
        <v>2.4307653494506778</v>
      </c>
      <c r="R58" s="210">
        <v>2.3620506239221801</v>
      </c>
      <c r="S58" s="210">
        <v>2.3828034335716266</v>
      </c>
    </row>
    <row r="59" spans="1:19" x14ac:dyDescent="0.25">
      <c r="A59" s="44" t="s">
        <v>332</v>
      </c>
      <c r="B59" s="44" t="s">
        <v>337</v>
      </c>
      <c r="C59" s="44" t="s">
        <v>335</v>
      </c>
      <c r="D59" s="44">
        <v>35</v>
      </c>
      <c r="E59" s="213">
        <v>0.19133508297309318</v>
      </c>
      <c r="F59" s="213">
        <v>0.21400624977124372</v>
      </c>
      <c r="G59" s="213">
        <v>0.2128375946605448</v>
      </c>
      <c r="H59" s="213">
        <v>0.20581714442536406</v>
      </c>
      <c r="I59" s="213">
        <v>0.2086373836848078</v>
      </c>
      <c r="J59" s="213">
        <v>2.9776222522147813</v>
      </c>
      <c r="K59" s="213">
        <v>2.5251676076900109</v>
      </c>
      <c r="L59" s="213">
        <v>3.1360360240057497</v>
      </c>
      <c r="M59" s="213">
        <v>2.5244709784413004</v>
      </c>
      <c r="N59" s="213">
        <v>2.7351074430846301</v>
      </c>
      <c r="O59" s="213">
        <v>2.0674937937554478</v>
      </c>
      <c r="P59" s="213">
        <v>2.065479630835295</v>
      </c>
      <c r="Q59" s="213">
        <v>2.184147779305639</v>
      </c>
      <c r="R59" s="213">
        <v>2.0648675514099746</v>
      </c>
      <c r="S59" s="213">
        <v>2.100723416628195</v>
      </c>
    </row>
    <row r="60" spans="1:19" x14ac:dyDescent="0.25">
      <c r="A60" s="44" t="s">
        <v>332</v>
      </c>
      <c r="B60" s="44" t="s">
        <v>337</v>
      </c>
      <c r="C60" s="44" t="s">
        <v>335</v>
      </c>
      <c r="D60" s="44">
        <v>40</v>
      </c>
      <c r="E60" s="210">
        <v>0.19598962624041627</v>
      </c>
      <c r="F60" s="210">
        <v>0.21736994164948237</v>
      </c>
      <c r="G60" s="210">
        <v>0.22273954781839969</v>
      </c>
      <c r="H60" s="210">
        <v>0.19882981469736644</v>
      </c>
      <c r="I60" s="210">
        <v>0.20946346074098776</v>
      </c>
      <c r="J60" s="210">
        <v>2.8050832438958841</v>
      </c>
      <c r="K60" s="210">
        <v>2.3961333824167865</v>
      </c>
      <c r="L60" s="210">
        <v>3.0102334822783132</v>
      </c>
      <c r="M60" s="210">
        <v>2.3954735689874904</v>
      </c>
      <c r="N60" s="210">
        <v>2.6043536830189873</v>
      </c>
      <c r="O60" s="210">
        <v>1.9906381920478118</v>
      </c>
      <c r="P60" s="210">
        <v>1.9882474918539099</v>
      </c>
      <c r="Q60" s="210">
        <v>2.1323185471349144</v>
      </c>
      <c r="R60" s="210">
        <v>1.9876546722261563</v>
      </c>
      <c r="S60" s="210">
        <v>2.0310987387877004</v>
      </c>
    </row>
    <row r="61" spans="1:19" x14ac:dyDescent="0.25">
      <c r="A61" s="44" t="s">
        <v>332</v>
      </c>
      <c r="B61" s="44" t="s">
        <v>337</v>
      </c>
      <c r="C61" s="44" t="s">
        <v>335</v>
      </c>
      <c r="D61" s="44">
        <v>45</v>
      </c>
      <c r="E61" s="210">
        <v>0.19921939038222217</v>
      </c>
      <c r="F61" s="210">
        <v>0.22026918556411904</v>
      </c>
      <c r="G61" s="210">
        <v>0.22815138512162506</v>
      </c>
      <c r="H61" s="210">
        <v>0.19683826205148192</v>
      </c>
      <c r="I61" s="210">
        <v>0.21097437297992663</v>
      </c>
      <c r="J61" s="210">
        <v>2.6695060693466925</v>
      </c>
      <c r="K61" s="210">
        <v>2.2965310946517041</v>
      </c>
      <c r="L61" s="210">
        <v>2.9080263451962569</v>
      </c>
      <c r="M61" s="210">
        <v>2.295897455217073</v>
      </c>
      <c r="N61" s="210">
        <v>2.5017537831815577</v>
      </c>
      <c r="O61" s="210">
        <v>1.9304517486527515</v>
      </c>
      <c r="P61" s="210">
        <v>1.9278150886231737</v>
      </c>
      <c r="Q61" s="210">
        <v>2.0884924714289625</v>
      </c>
      <c r="R61" s="210">
        <v>1.9272396687997109</v>
      </c>
      <c r="S61" s="210">
        <v>1.9756415590090879</v>
      </c>
    </row>
    <row r="62" spans="1:19" x14ac:dyDescent="0.25">
      <c r="A62" s="44" t="s">
        <v>332</v>
      </c>
      <c r="B62" s="44" t="s">
        <v>337</v>
      </c>
      <c r="C62" s="44" t="s">
        <v>335</v>
      </c>
      <c r="D62" s="44">
        <v>50</v>
      </c>
      <c r="E62" s="210">
        <v>0.19975586215850255</v>
      </c>
      <c r="F62" s="210">
        <v>0.22203000111247309</v>
      </c>
      <c r="G62" s="210">
        <v>0.22871645574442409</v>
      </c>
      <c r="H62" s="210">
        <v>0.20359731134493625</v>
      </c>
      <c r="I62" s="210">
        <v>0.21450816871738138</v>
      </c>
      <c r="J62" s="210">
        <v>2.5502466740238932</v>
      </c>
      <c r="K62" s="210">
        <v>2.3735019937623831</v>
      </c>
      <c r="L62" s="210">
        <v>2.8124606899063771</v>
      </c>
      <c r="M62" s="210">
        <v>2.3728468460199115</v>
      </c>
      <c r="N62" s="210">
        <v>2.5150853628559622</v>
      </c>
      <c r="O62" s="210">
        <v>1.860249666623929</v>
      </c>
      <c r="P62" s="210">
        <v>1.85744836167238</v>
      </c>
      <c r="Q62" s="210">
        <v>2.0293971061185792</v>
      </c>
      <c r="R62" s="210">
        <v>1.856891529122666</v>
      </c>
      <c r="S62" s="210">
        <v>1.9086545542464282</v>
      </c>
    </row>
    <row r="63" spans="1:19" x14ac:dyDescent="0.25">
      <c r="A63" s="44" t="s">
        <v>332</v>
      </c>
      <c r="B63" s="44" t="s">
        <v>337</v>
      </c>
      <c r="C63" s="44" t="s">
        <v>335</v>
      </c>
      <c r="D63" s="44">
        <v>55</v>
      </c>
      <c r="E63" s="210">
        <v>0.19970567876180575</v>
      </c>
      <c r="F63" s="210">
        <v>0.21945293561807799</v>
      </c>
      <c r="G63" s="210">
        <v>0.22736697327925059</v>
      </c>
      <c r="H63" s="210">
        <v>0.20893855695839905</v>
      </c>
      <c r="I63" s="210">
        <v>0.21594805932605693</v>
      </c>
      <c r="J63" s="210">
        <v>2.4525926967153246</v>
      </c>
      <c r="K63" s="210">
        <v>2.4364814419204395</v>
      </c>
      <c r="L63" s="210">
        <v>2.7293083516940237</v>
      </c>
      <c r="M63" s="210">
        <v>2.435807568594158</v>
      </c>
      <c r="N63" s="210">
        <v>2.5245098510342299</v>
      </c>
      <c r="O63" s="210">
        <v>1.7940449785382968</v>
      </c>
      <c r="P63" s="210">
        <v>1.7911474586238014</v>
      </c>
      <c r="Q63" s="210">
        <v>1.9697088987175337</v>
      </c>
      <c r="R63" s="210">
        <v>1.7906067341816725</v>
      </c>
      <c r="S63" s="210">
        <v>1.8443387535016258</v>
      </c>
    </row>
    <row r="64" spans="1:19" x14ac:dyDescent="0.25">
      <c r="A64" s="44" t="s">
        <v>332</v>
      </c>
      <c r="B64" s="44" t="s">
        <v>337</v>
      </c>
      <c r="C64" s="44" t="s">
        <v>335</v>
      </c>
      <c r="D64" s="44">
        <v>60</v>
      </c>
      <c r="E64" s="210">
        <v>0.20266873535786961</v>
      </c>
      <c r="F64" s="210">
        <v>0.2159662982942086</v>
      </c>
      <c r="G64" s="210">
        <v>0.22788176939192528</v>
      </c>
      <c r="H64" s="210">
        <v>0.21194431245098155</v>
      </c>
      <c r="I64" s="210">
        <v>0.21691979488429924</v>
      </c>
      <c r="J64" s="210">
        <v>2.3785336281523604</v>
      </c>
      <c r="K64" s="210">
        <v>2.3739630309875892</v>
      </c>
      <c r="L64" s="210">
        <v>2.6604312412025917</v>
      </c>
      <c r="M64" s="210">
        <v>2.3733065941954332</v>
      </c>
      <c r="N64" s="210">
        <v>2.4593867529398854</v>
      </c>
      <c r="O64" s="210">
        <v>1.7432621756517002</v>
      </c>
      <c r="P64" s="210">
        <v>1.7403754092025425</v>
      </c>
      <c r="Q64" s="210">
        <v>1.9186759001537985</v>
      </c>
      <c r="R64" s="210">
        <v>1.7398515119200408</v>
      </c>
      <c r="S64" s="210">
        <v>1.7934956509873843</v>
      </c>
    </row>
    <row r="65" spans="1:19" x14ac:dyDescent="0.25">
      <c r="A65" s="44" t="s">
        <v>332</v>
      </c>
      <c r="B65" s="44" t="s">
        <v>337</v>
      </c>
      <c r="C65" s="44" t="s">
        <v>335</v>
      </c>
      <c r="D65" s="44">
        <v>65</v>
      </c>
      <c r="E65" s="210">
        <v>0.21595777699308003</v>
      </c>
      <c r="F65" s="210">
        <v>0.21891078397995359</v>
      </c>
      <c r="G65" s="210">
        <v>0.23729086922135781</v>
      </c>
      <c r="H65" s="210">
        <v>0.21940573728226723</v>
      </c>
      <c r="I65" s="210">
        <v>0.22442720731937763</v>
      </c>
      <c r="J65" s="210">
        <v>2.5724326486459925</v>
      </c>
      <c r="K65" s="210">
        <v>2.5683014596938656</v>
      </c>
      <c r="L65" s="210">
        <v>2.8243712973794399</v>
      </c>
      <c r="M65" s="210">
        <v>2.5675931111178687</v>
      </c>
      <c r="N65" s="210">
        <v>2.6446097040580914</v>
      </c>
      <c r="O65" s="210">
        <v>1.790989216453845</v>
      </c>
      <c r="P65" s="210">
        <v>1.7883355311456395</v>
      </c>
      <c r="Q65" s="210">
        <v>1.9509506331784345</v>
      </c>
      <c r="R65" s="210">
        <v>1.7877980231815196</v>
      </c>
      <c r="S65" s="210">
        <v>1.8367576459105381</v>
      </c>
    </row>
    <row r="66" spans="1:19" x14ac:dyDescent="0.25">
      <c r="A66" s="44" t="s">
        <v>332</v>
      </c>
      <c r="B66" s="44" t="s">
        <v>337</v>
      </c>
      <c r="C66" s="44" t="s">
        <v>335</v>
      </c>
      <c r="D66" s="44">
        <v>70</v>
      </c>
      <c r="E66" s="210">
        <v>0.23823057370119202</v>
      </c>
      <c r="F66" s="210">
        <v>0.23920087453750788</v>
      </c>
      <c r="G66" s="210">
        <v>0.25470022217606636</v>
      </c>
      <c r="H66" s="210">
        <v>0.23975138064911444</v>
      </c>
      <c r="I66" s="210">
        <v>0.24400575480446149</v>
      </c>
      <c r="J66" s="210">
        <v>2.7593062299866071</v>
      </c>
      <c r="K66" s="210">
        <v>2.7555895092670442</v>
      </c>
      <c r="L66" s="210">
        <v>2.9834576925750413</v>
      </c>
      <c r="M66" s="210">
        <v>2.7548286913528846</v>
      </c>
      <c r="N66" s="210">
        <v>2.823438645243463</v>
      </c>
      <c r="O66" s="210">
        <v>1.8340692451472587</v>
      </c>
      <c r="P66" s="210">
        <v>1.8316438824934003</v>
      </c>
      <c r="Q66" s="210">
        <v>1.9792398538624258</v>
      </c>
      <c r="R66" s="210">
        <v>1.8310973275969649</v>
      </c>
      <c r="S66" s="210">
        <v>1.8755688861742195</v>
      </c>
    </row>
    <row r="67" spans="1:19" x14ac:dyDescent="0.25">
      <c r="A67" s="44" t="s">
        <v>332</v>
      </c>
      <c r="B67" s="44" t="s">
        <v>337</v>
      </c>
      <c r="C67" s="44" t="s">
        <v>335</v>
      </c>
      <c r="D67" s="44">
        <v>75</v>
      </c>
      <c r="E67" s="210">
        <v>0.2654417991165916</v>
      </c>
      <c r="F67" s="210">
        <v>0.26600735563387656</v>
      </c>
      <c r="G67" s="210">
        <v>0.27643368480475694</v>
      </c>
      <c r="H67" s="210">
        <v>0.26662553254358323</v>
      </c>
      <c r="I67" s="210">
        <v>0.26935435245574468</v>
      </c>
      <c r="J67" s="210">
        <v>2.7692410771530649</v>
      </c>
      <c r="K67" s="210">
        <v>2.7656503844034748</v>
      </c>
      <c r="L67" s="210">
        <v>2.984855814371981</v>
      </c>
      <c r="M67" s="210">
        <v>2.7648903723466174</v>
      </c>
      <c r="N67" s="210">
        <v>2.8309086630748928</v>
      </c>
      <c r="O67" s="210">
        <v>1.7742875504570492</v>
      </c>
      <c r="P67" s="210">
        <v>1.7718685335404754</v>
      </c>
      <c r="Q67" s="210">
        <v>1.9191519917868216</v>
      </c>
      <c r="R67" s="210">
        <v>1.7713406945054226</v>
      </c>
      <c r="S67" s="210">
        <v>1.8157081931482297</v>
      </c>
    </row>
    <row r="68" spans="1:19" x14ac:dyDescent="0.25">
      <c r="A68" s="44" t="s">
        <v>332</v>
      </c>
      <c r="B68" s="44" t="s">
        <v>337</v>
      </c>
      <c r="C68" s="44" t="s">
        <v>338</v>
      </c>
      <c r="D68" s="44">
        <v>2.5</v>
      </c>
      <c r="E68" s="210">
        <v>0.65181839009817066</v>
      </c>
      <c r="F68" s="210">
        <v>0.65248681609089498</v>
      </c>
      <c r="G68" s="210">
        <v>0.65678933113526095</v>
      </c>
      <c r="H68" s="210">
        <v>0.65313373484645743</v>
      </c>
      <c r="I68" s="210">
        <v>0.65401388595361298</v>
      </c>
      <c r="J68" s="210">
        <v>2.677622173314155</v>
      </c>
      <c r="K68" s="210">
        <v>2.1873211474802217</v>
      </c>
      <c r="L68" s="210">
        <v>2.6433527228407789</v>
      </c>
      <c r="M68" s="210">
        <v>2.1878677737102352</v>
      </c>
      <c r="N68" s="210">
        <v>2.3539830265352779</v>
      </c>
      <c r="O68" s="210">
        <v>2.3667617483137464</v>
      </c>
      <c r="P68" s="210">
        <v>2.3519973328869059</v>
      </c>
      <c r="Q68" s="210">
        <v>2.3453575886077633</v>
      </c>
      <c r="R68" s="210">
        <v>2.3529799317695388</v>
      </c>
      <c r="S68" s="210">
        <v>2.351366994415018</v>
      </c>
    </row>
    <row r="69" spans="1:19" x14ac:dyDescent="0.25">
      <c r="A69" s="44" t="s">
        <v>332</v>
      </c>
      <c r="B69" s="44" t="s">
        <v>337</v>
      </c>
      <c r="C69" s="44" t="s">
        <v>338</v>
      </c>
      <c r="D69" s="44">
        <v>5</v>
      </c>
      <c r="E69" s="210">
        <v>0.34707982473785998</v>
      </c>
      <c r="F69" s="210">
        <v>0.34875752541259564</v>
      </c>
      <c r="G69" s="210">
        <v>0.34841908306762637</v>
      </c>
      <c r="H69" s="210">
        <v>0.34911040257248305</v>
      </c>
      <c r="I69" s="210">
        <v>0.34870820341735331</v>
      </c>
      <c r="J69" s="210">
        <v>1.3493667949437074</v>
      </c>
      <c r="K69" s="210">
        <v>1.0963798864979648</v>
      </c>
      <c r="L69" s="210">
        <v>1.3680330316748039</v>
      </c>
      <c r="M69" s="210">
        <v>1.0966557651187525</v>
      </c>
      <c r="N69" s="210">
        <v>1.193211659324636</v>
      </c>
      <c r="O69" s="210">
        <v>1.1900833385127423</v>
      </c>
      <c r="P69" s="210">
        <v>1.185456485558916</v>
      </c>
      <c r="Q69" s="210">
        <v>1.2038770567293784</v>
      </c>
      <c r="R69" s="210">
        <v>1.1859517590040594</v>
      </c>
      <c r="S69" s="210">
        <v>1.1914554698077799</v>
      </c>
    </row>
    <row r="70" spans="1:19" x14ac:dyDescent="0.25">
      <c r="A70" s="44" t="s">
        <v>332</v>
      </c>
      <c r="B70" s="44" t="s">
        <v>337</v>
      </c>
      <c r="C70" s="44" t="s">
        <v>338</v>
      </c>
      <c r="D70" s="44">
        <v>10</v>
      </c>
      <c r="E70" s="210">
        <v>0.19442346815210551</v>
      </c>
      <c r="F70" s="210">
        <v>0.19694653507009635</v>
      </c>
      <c r="G70" s="210">
        <v>0.19356382897939925</v>
      </c>
      <c r="H70" s="210">
        <v>0.19715356087617447</v>
      </c>
      <c r="I70" s="210">
        <v>0.19587254541596349</v>
      </c>
      <c r="J70" s="210">
        <v>0.73719921174286018</v>
      </c>
      <c r="K70" s="210">
        <v>0.56518752690777319</v>
      </c>
      <c r="L70" s="210">
        <v>0.7456867468584627</v>
      </c>
      <c r="M70" s="210">
        <v>0.5653337460961021</v>
      </c>
      <c r="N70" s="210">
        <v>0.6297537175240655</v>
      </c>
      <c r="O70" s="210">
        <v>0.65246972032678052</v>
      </c>
      <c r="P70" s="210">
        <v>0.6522460536197725</v>
      </c>
      <c r="Q70" s="210">
        <v>0.65764454716771514</v>
      </c>
      <c r="R70" s="210">
        <v>0.6525197711914027</v>
      </c>
      <c r="S70" s="210">
        <v>0.65399063879557773</v>
      </c>
    </row>
    <row r="71" spans="1:19" x14ac:dyDescent="0.25">
      <c r="A71" s="44" t="s">
        <v>332</v>
      </c>
      <c r="B71" s="44" t="s">
        <v>337</v>
      </c>
      <c r="C71" s="44" t="s">
        <v>338</v>
      </c>
      <c r="D71" s="44">
        <v>15</v>
      </c>
      <c r="E71" s="210">
        <v>0.14341086934893527</v>
      </c>
      <c r="F71" s="210">
        <v>0.14639036912912853</v>
      </c>
      <c r="G71" s="210">
        <v>0.14290364114719462</v>
      </c>
      <c r="H71" s="210">
        <v>0.14654962799267965</v>
      </c>
      <c r="I71" s="210">
        <v>0.14523595755303292</v>
      </c>
      <c r="J71" s="210">
        <v>0.53751132916294009</v>
      </c>
      <c r="K71" s="210">
        <v>0.3909460599960603</v>
      </c>
      <c r="L71" s="210">
        <v>0.543133470133771</v>
      </c>
      <c r="M71" s="210">
        <v>0.39105012572883169</v>
      </c>
      <c r="N71" s="210">
        <v>0.44547158110045387</v>
      </c>
      <c r="O71" s="210">
        <v>0.48285189203691115</v>
      </c>
      <c r="P71" s="210">
        <v>0.48284946094458037</v>
      </c>
      <c r="Q71" s="210">
        <v>0.4975808171333328</v>
      </c>
      <c r="R71" s="210">
        <v>0.48305684200787247</v>
      </c>
      <c r="S71" s="210">
        <v>0.48733426770250693</v>
      </c>
    </row>
    <row r="72" spans="1:19" x14ac:dyDescent="0.25">
      <c r="A72" s="44" t="s">
        <v>332</v>
      </c>
      <c r="B72" s="44" t="s">
        <v>337</v>
      </c>
      <c r="C72" s="44" t="s">
        <v>338</v>
      </c>
      <c r="D72" s="44">
        <v>20</v>
      </c>
      <c r="E72" s="210">
        <v>0.11116996082644053</v>
      </c>
      <c r="F72" s="210">
        <v>0.11963092819307496</v>
      </c>
      <c r="G72" s="210">
        <v>0.11208684370531563</v>
      </c>
      <c r="H72" s="210">
        <v>0.1197649274213495</v>
      </c>
      <c r="I72" s="210">
        <v>0.11691526038385294</v>
      </c>
      <c r="J72" s="210">
        <v>0.42867555094481952</v>
      </c>
      <c r="K72" s="210">
        <v>0.32675762351118298</v>
      </c>
      <c r="L72" s="210">
        <v>0.43598450421319496</v>
      </c>
      <c r="M72" s="210">
        <v>0.32684930178440919</v>
      </c>
      <c r="N72" s="210">
        <v>0.36569564090751044</v>
      </c>
      <c r="O72" s="210">
        <v>0.38751232213113712</v>
      </c>
      <c r="P72" s="210">
        <v>0.38726500631277283</v>
      </c>
      <c r="Q72" s="210">
        <v>0.41562252650611947</v>
      </c>
      <c r="R72" s="210">
        <v>0.3874362128540636</v>
      </c>
      <c r="S72" s="210">
        <v>0.39581260642873539</v>
      </c>
    </row>
    <row r="73" spans="1:19" x14ac:dyDescent="0.25">
      <c r="A73" s="44" t="s">
        <v>332</v>
      </c>
      <c r="B73" s="44" t="s">
        <v>337</v>
      </c>
      <c r="C73" s="44" t="s">
        <v>338</v>
      </c>
      <c r="D73" s="44">
        <v>25</v>
      </c>
      <c r="E73" s="210">
        <v>9.3019088228293592E-2</v>
      </c>
      <c r="F73" s="210">
        <v>0.10053840116940013</v>
      </c>
      <c r="G73" s="210">
        <v>9.4634996991348211E-2</v>
      </c>
      <c r="H73" s="210">
        <v>0.10065342289227129</v>
      </c>
      <c r="I73" s="210">
        <v>9.8362069354809289E-2</v>
      </c>
      <c r="J73" s="210">
        <v>0.35154121576746561</v>
      </c>
      <c r="K73" s="210">
        <v>0.28553054253279625</v>
      </c>
      <c r="L73" s="210">
        <v>0.36148915477905069</v>
      </c>
      <c r="M73" s="210">
        <v>0.28561418729171029</v>
      </c>
      <c r="N73" s="210">
        <v>0.31231572144654385</v>
      </c>
      <c r="O73" s="210">
        <v>0.32195872506836393</v>
      </c>
      <c r="P73" s="210">
        <v>0.32153552280100745</v>
      </c>
      <c r="Q73" s="210">
        <v>0.35989176247914401</v>
      </c>
      <c r="R73" s="210">
        <v>0.32168382513099897</v>
      </c>
      <c r="S73" s="210">
        <v>0.33306571909032306</v>
      </c>
    </row>
    <row r="74" spans="1:19" x14ac:dyDescent="0.25">
      <c r="A74" s="44" t="s">
        <v>332</v>
      </c>
      <c r="B74" s="44" t="s">
        <v>337</v>
      </c>
      <c r="C74" s="44" t="s">
        <v>338</v>
      </c>
      <c r="D74" s="44">
        <v>30</v>
      </c>
      <c r="E74" s="210">
        <v>8.1186769876605419E-2</v>
      </c>
      <c r="F74" s="210">
        <v>8.7948848016723757E-2</v>
      </c>
      <c r="G74" s="210">
        <v>8.5102333431025814E-2</v>
      </c>
      <c r="H74" s="210">
        <v>8.8054436175700371E-2</v>
      </c>
      <c r="I74" s="210">
        <v>8.6726959627145814E-2</v>
      </c>
      <c r="J74" s="210">
        <v>0.31039855889787665</v>
      </c>
      <c r="K74" s="210">
        <v>0.26123059628052842</v>
      </c>
      <c r="L74" s="210">
        <v>0.32098514848358783</v>
      </c>
      <c r="M74" s="210">
        <v>0.2613096471536917</v>
      </c>
      <c r="N74" s="210">
        <v>0.28213629096893666</v>
      </c>
      <c r="O74" s="210">
        <v>0.28621015170006225</v>
      </c>
      <c r="P74" s="210">
        <v>0.28577013330212758</v>
      </c>
      <c r="Q74" s="210">
        <v>0.32433253250359595</v>
      </c>
      <c r="R74" s="210">
        <v>0.28590619237878068</v>
      </c>
      <c r="S74" s="210">
        <v>0.29735744817870663</v>
      </c>
    </row>
    <row r="75" spans="1:19" x14ac:dyDescent="0.25">
      <c r="A75" s="44" t="s">
        <v>332</v>
      </c>
      <c r="B75" s="44" t="s">
        <v>337</v>
      </c>
      <c r="C75" s="44" t="s">
        <v>338</v>
      </c>
      <c r="D75" s="44">
        <v>35</v>
      </c>
      <c r="E75" s="213">
        <v>7.2852098043049082E-2</v>
      </c>
      <c r="F75" s="213">
        <v>7.7746218680212226E-2</v>
      </c>
      <c r="G75" s="213">
        <v>8.162398289754981E-2</v>
      </c>
      <c r="H75" s="213">
        <v>7.7376106589124291E-2</v>
      </c>
      <c r="I75" s="213">
        <v>7.8435627739216918E-2</v>
      </c>
      <c r="J75" s="213">
        <v>0.27633685264709568</v>
      </c>
      <c r="K75" s="213">
        <v>0.23333621557708381</v>
      </c>
      <c r="L75" s="213">
        <v>0.28703325048766559</v>
      </c>
      <c r="M75" s="213">
        <v>0.23340625918905733</v>
      </c>
      <c r="N75" s="213">
        <v>0.25204878275147641</v>
      </c>
      <c r="O75" s="213">
        <v>0.24026443959564811</v>
      </c>
      <c r="P75" s="213">
        <v>0.23977897057231412</v>
      </c>
      <c r="Q75" s="213">
        <v>0.28005451833174738</v>
      </c>
      <c r="R75" s="213">
        <v>0.23989632476994435</v>
      </c>
      <c r="S75" s="213">
        <v>0.25187174320871725</v>
      </c>
    </row>
    <row r="76" spans="1:19" x14ac:dyDescent="0.25">
      <c r="A76" s="44" t="s">
        <v>332</v>
      </c>
      <c r="B76" s="44" t="s">
        <v>337</v>
      </c>
      <c r="C76" s="44" t="s">
        <v>338</v>
      </c>
      <c r="D76" s="44">
        <v>40</v>
      </c>
      <c r="E76" s="210">
        <v>6.6604293751765895E-2</v>
      </c>
      <c r="F76" s="210">
        <v>6.9818415107935003E-2</v>
      </c>
      <c r="G76" s="210">
        <v>7.8485101090148682E-2</v>
      </c>
      <c r="H76" s="210">
        <v>6.8984480625075784E-2</v>
      </c>
      <c r="I76" s="210">
        <v>7.1835542596305715E-2</v>
      </c>
      <c r="J76" s="210">
        <v>0.25124325223135302</v>
      </c>
      <c r="K76" s="210">
        <v>0.21221044873880246</v>
      </c>
      <c r="L76" s="210">
        <v>0.26284356759506555</v>
      </c>
      <c r="M76" s="210">
        <v>0.21227531976702443</v>
      </c>
      <c r="N76" s="210">
        <v>0.22976081162615869</v>
      </c>
      <c r="O76" s="210">
        <v>0.21251538909281595</v>
      </c>
      <c r="P76" s="210">
        <v>0.2120171698922175</v>
      </c>
      <c r="Q76" s="210">
        <v>0.25257215706804459</v>
      </c>
      <c r="R76" s="210">
        <v>0.21212629491065726</v>
      </c>
      <c r="S76" s="210">
        <v>0.22419043949154518</v>
      </c>
    </row>
    <row r="77" spans="1:19" x14ac:dyDescent="0.25">
      <c r="A77" s="44" t="s">
        <v>332</v>
      </c>
      <c r="B77" s="44" t="s">
        <v>337</v>
      </c>
      <c r="C77" s="44" t="s">
        <v>338</v>
      </c>
      <c r="D77" s="44">
        <v>45</v>
      </c>
      <c r="E77" s="210">
        <v>6.1743395416401656E-2</v>
      </c>
      <c r="F77" s="210">
        <v>6.3655123536797795E-2</v>
      </c>
      <c r="G77" s="210">
        <v>7.5662751986037446E-2</v>
      </c>
      <c r="H77" s="210">
        <v>6.2823662211004161E-2</v>
      </c>
      <c r="I77" s="210">
        <v>6.6750483425223953E-2</v>
      </c>
      <c r="J77" s="210">
        <v>0.23156774539722116</v>
      </c>
      <c r="K77" s="210">
        <v>0.1957511588077743</v>
      </c>
      <c r="L77" s="210">
        <v>0.24376691212013563</v>
      </c>
      <c r="M77" s="210">
        <v>0.19581190908712345</v>
      </c>
      <c r="N77" s="210">
        <v>0.21231958417630434</v>
      </c>
      <c r="O77" s="210">
        <v>0.19077249167249652</v>
      </c>
      <c r="P77" s="210">
        <v>0.1902496363896525</v>
      </c>
      <c r="Q77" s="210">
        <v>0.23199375994819027</v>
      </c>
      <c r="R77" s="210">
        <v>0.19035265287027153</v>
      </c>
      <c r="S77" s="210">
        <v>0.20277635725063142</v>
      </c>
    </row>
    <row r="78" spans="1:19" x14ac:dyDescent="0.25">
      <c r="A78" s="44" t="s">
        <v>332</v>
      </c>
      <c r="B78" s="44" t="s">
        <v>337</v>
      </c>
      <c r="C78" s="44" t="s">
        <v>338</v>
      </c>
      <c r="D78" s="44">
        <v>50</v>
      </c>
      <c r="E78" s="210">
        <v>5.7830121086710685E-2</v>
      </c>
      <c r="F78" s="210">
        <v>5.9020005166032001E-2</v>
      </c>
      <c r="G78" s="210">
        <v>7.2101415068232436E-2</v>
      </c>
      <c r="H78" s="210">
        <v>5.8514180830890279E-2</v>
      </c>
      <c r="I78" s="210">
        <v>6.2624069760200463E-2</v>
      </c>
      <c r="J78" s="210">
        <v>0.21455857124528077</v>
      </c>
      <c r="K78" s="210">
        <v>0.19775314743561409</v>
      </c>
      <c r="L78" s="210">
        <v>0.22700585130273451</v>
      </c>
      <c r="M78" s="210">
        <v>0.19781518481679694</v>
      </c>
      <c r="N78" s="210">
        <v>0.20754699679020541</v>
      </c>
      <c r="O78" s="210">
        <v>0.17074419229458357</v>
      </c>
      <c r="P78" s="210">
        <v>0.17024039355191523</v>
      </c>
      <c r="Q78" s="210">
        <v>0.210292549208452</v>
      </c>
      <c r="R78" s="210">
        <v>0.17033748368505655</v>
      </c>
      <c r="S78" s="210">
        <v>0.18225874015993415</v>
      </c>
    </row>
    <row r="79" spans="1:19" x14ac:dyDescent="0.25">
      <c r="A79" s="44" t="s">
        <v>332</v>
      </c>
      <c r="B79" s="44" t="s">
        <v>337</v>
      </c>
      <c r="C79" s="44" t="s">
        <v>338</v>
      </c>
      <c r="D79" s="44">
        <v>55</v>
      </c>
      <c r="E79" s="210">
        <v>5.4607779640190306E-2</v>
      </c>
      <c r="F79" s="210">
        <v>5.6403909506660029E-2</v>
      </c>
      <c r="G79" s="210">
        <v>6.7658199494303892E-2</v>
      </c>
      <c r="H79" s="210">
        <v>5.5625565019724703E-2</v>
      </c>
      <c r="I79" s="210">
        <v>5.9305224282363546E-2</v>
      </c>
      <c r="J79" s="210">
        <v>0.20063870669531983</v>
      </c>
      <c r="K79" s="210">
        <v>0.19939133941740139</v>
      </c>
      <c r="L79" s="210">
        <v>0.21307530702321234</v>
      </c>
      <c r="M79" s="210">
        <v>0.19945427877669927</v>
      </c>
      <c r="N79" s="210">
        <v>0.20357730889225184</v>
      </c>
      <c r="O79" s="210">
        <v>0.15368386695350375</v>
      </c>
      <c r="P79" s="210">
        <v>0.15322033694964815</v>
      </c>
      <c r="Q79" s="210">
        <v>0.19022742565884138</v>
      </c>
      <c r="R79" s="210">
        <v>0.15331186028308175</v>
      </c>
      <c r="S79" s="210">
        <v>0.16432563789071483</v>
      </c>
    </row>
    <row r="80" spans="1:19" x14ac:dyDescent="0.25">
      <c r="A80" s="44" t="s">
        <v>332</v>
      </c>
      <c r="B80" s="44" t="s">
        <v>337</v>
      </c>
      <c r="C80" s="44" t="s">
        <v>338</v>
      </c>
      <c r="D80" s="44">
        <v>60</v>
      </c>
      <c r="E80" s="210">
        <v>5.2426475553827331E-2</v>
      </c>
      <c r="F80" s="210">
        <v>5.4234142663537419E-2</v>
      </c>
      <c r="G80" s="210">
        <v>6.4232382383753728E-2</v>
      </c>
      <c r="H80" s="210">
        <v>5.3980225377490323E-2</v>
      </c>
      <c r="I80" s="210">
        <v>5.6991574972329123E-2</v>
      </c>
      <c r="J80" s="210">
        <v>0.18718171345197729</v>
      </c>
      <c r="K80" s="210">
        <v>0.18705218972202584</v>
      </c>
      <c r="L80" s="210">
        <v>0.19977430128562534</v>
      </c>
      <c r="M80" s="210">
        <v>0.18711250524594472</v>
      </c>
      <c r="N80" s="210">
        <v>0.19088079548838047</v>
      </c>
      <c r="O80" s="210">
        <v>0.14060899800234564</v>
      </c>
      <c r="P80" s="210">
        <v>0.14018480313311515</v>
      </c>
      <c r="Q80" s="210">
        <v>0.17425632174727373</v>
      </c>
      <c r="R80" s="210">
        <v>0.14027144961390897</v>
      </c>
      <c r="S80" s="210">
        <v>0.15041007524953232</v>
      </c>
    </row>
    <row r="81" spans="1:19" x14ac:dyDescent="0.25">
      <c r="A81" s="44" t="s">
        <v>332</v>
      </c>
      <c r="B81" s="44" t="s">
        <v>337</v>
      </c>
      <c r="C81" s="44" t="s">
        <v>338</v>
      </c>
      <c r="D81" s="44">
        <v>65</v>
      </c>
      <c r="E81" s="210">
        <v>5.2680568831886355E-2</v>
      </c>
      <c r="F81" s="210">
        <v>5.4007341587981442E-2</v>
      </c>
      <c r="G81" s="210">
        <v>6.2853300269352971E-2</v>
      </c>
      <c r="H81" s="210">
        <v>5.4084174805573364E-2</v>
      </c>
      <c r="I81" s="210">
        <v>5.6596933703370003E-2</v>
      </c>
      <c r="J81" s="210">
        <v>0.17991481574911555</v>
      </c>
      <c r="K81" s="210">
        <v>0.17979787202958211</v>
      </c>
      <c r="L81" s="210">
        <v>0.19183905890379283</v>
      </c>
      <c r="M81" s="210">
        <v>0.179860637665019</v>
      </c>
      <c r="N81" s="210">
        <v>0.18342371552581274</v>
      </c>
      <c r="O81" s="210">
        <v>0.13673294335384936</v>
      </c>
      <c r="P81" s="210">
        <v>0.13636429239735925</v>
      </c>
      <c r="Q81" s="210">
        <v>0.16677168028382625</v>
      </c>
      <c r="R81" s="210">
        <v>0.13645082280157284</v>
      </c>
      <c r="S81" s="210">
        <v>0.14549335885932996</v>
      </c>
    </row>
    <row r="82" spans="1:19" x14ac:dyDescent="0.25">
      <c r="A82" s="44" t="s">
        <v>332</v>
      </c>
      <c r="B82" s="44" t="s">
        <v>337</v>
      </c>
      <c r="C82" s="44" t="s">
        <v>338</v>
      </c>
      <c r="D82" s="44">
        <v>70</v>
      </c>
      <c r="E82" s="210">
        <v>5.7349911876261858E-2</v>
      </c>
      <c r="F82" s="210">
        <v>5.788605707790951E-2</v>
      </c>
      <c r="G82" s="210">
        <v>6.5585419014368707E-2</v>
      </c>
      <c r="H82" s="210">
        <v>5.7971546533185606E-2</v>
      </c>
      <c r="I82" s="210">
        <v>6.0186593074572373E-2</v>
      </c>
      <c r="J82" s="210">
        <v>0.17402899714350456</v>
      </c>
      <c r="K82" s="210">
        <v>0.17392624917633578</v>
      </c>
      <c r="L82" s="210">
        <v>0.18522122715838407</v>
      </c>
      <c r="M82" s="210">
        <v>0.17399127467092776</v>
      </c>
      <c r="N82" s="210">
        <v>0.17732967584378659</v>
      </c>
      <c r="O82" s="210">
        <v>0.13381692639643938</v>
      </c>
      <c r="P82" s="210">
        <v>0.13349593634852949</v>
      </c>
      <c r="Q82" s="210">
        <v>0.16078337907591267</v>
      </c>
      <c r="R82" s="210">
        <v>0.13358267410540633</v>
      </c>
      <c r="S82" s="210">
        <v>0.14169171770662028</v>
      </c>
    </row>
    <row r="83" spans="1:19" x14ac:dyDescent="0.25">
      <c r="A83" s="44" t="s">
        <v>332</v>
      </c>
      <c r="B83" s="44" t="s">
        <v>337</v>
      </c>
      <c r="C83" s="44" t="s">
        <v>338</v>
      </c>
      <c r="D83" s="44">
        <v>75</v>
      </c>
      <c r="E83" s="210">
        <v>6.5032091146163234E-2</v>
      </c>
      <c r="F83" s="210">
        <v>6.5047591131149107E-2</v>
      </c>
      <c r="G83" s="210">
        <v>7.1031854960117671E-2</v>
      </c>
      <c r="H83" s="210">
        <v>6.5147198534573209E-2</v>
      </c>
      <c r="I83" s="210">
        <v>6.6875193275219194E-2</v>
      </c>
      <c r="J83" s="210">
        <v>0.16607361342555274</v>
      </c>
      <c r="K83" s="210">
        <v>0.16597440595856255</v>
      </c>
      <c r="L83" s="210">
        <v>0.17697174940351665</v>
      </c>
      <c r="M83" s="210">
        <v>0.1660387608164984</v>
      </c>
      <c r="N83" s="210">
        <v>0.16928855674643287</v>
      </c>
      <c r="O83" s="210">
        <v>0.12751468798915466</v>
      </c>
      <c r="P83" s="210">
        <v>0.12722821749408994</v>
      </c>
      <c r="Q83" s="210">
        <v>0.15198492405490213</v>
      </c>
      <c r="R83" s="210">
        <v>0.12731163288346242</v>
      </c>
      <c r="S83" s="210">
        <v>0.13466567933666826</v>
      </c>
    </row>
  </sheetData>
  <mergeCells count="10">
    <mergeCell ref="U11:AB11"/>
    <mergeCell ref="X13:AB22"/>
    <mergeCell ref="A1:S1"/>
    <mergeCell ref="U1:AL1"/>
    <mergeCell ref="E2:I2"/>
    <mergeCell ref="J2:N2"/>
    <mergeCell ref="O2:S2"/>
    <mergeCell ref="X2:AB2"/>
    <mergeCell ref="AC2:AG2"/>
    <mergeCell ref="AH2:AL2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6"/>
  <sheetViews>
    <sheetView topLeftCell="A377" zoomScale="85" zoomScaleNormal="85" workbookViewId="0">
      <selection activeCell="D403" sqref="D403"/>
    </sheetView>
  </sheetViews>
  <sheetFormatPr defaultRowHeight="15" x14ac:dyDescent="0.25"/>
  <cols>
    <col min="1" max="1" width="31.28515625" bestFit="1" customWidth="1"/>
    <col min="2" max="2" width="37" customWidth="1"/>
    <col min="3" max="5" width="19.5703125" customWidth="1"/>
    <col min="6" max="6" width="29" customWidth="1"/>
    <col min="7" max="11" width="19.5703125" customWidth="1"/>
    <col min="16" max="16" width="29.85546875" bestFit="1" customWidth="1"/>
  </cols>
  <sheetData>
    <row r="1" spans="1:12" x14ac:dyDescent="0.25">
      <c r="A1" t="s">
        <v>207</v>
      </c>
    </row>
    <row r="2" spans="1:12" x14ac:dyDescent="0.25">
      <c r="A2" t="s">
        <v>208</v>
      </c>
    </row>
    <row r="3" spans="1:12" x14ac:dyDescent="0.25">
      <c r="A3" t="s">
        <v>209</v>
      </c>
    </row>
    <row r="4" spans="1:12" x14ac:dyDescent="0.25">
      <c r="A4" t="s">
        <v>210</v>
      </c>
    </row>
    <row r="5" spans="1:12" x14ac:dyDescent="0.25">
      <c r="A5" t="s">
        <v>211</v>
      </c>
    </row>
    <row r="6" spans="1:12" x14ac:dyDescent="0.25">
      <c r="A6" t="s">
        <v>212</v>
      </c>
    </row>
    <row r="7" spans="1:12" x14ac:dyDescent="0.25">
      <c r="A7" t="s">
        <v>213</v>
      </c>
    </row>
    <row r="9" spans="1:12" ht="30" x14ac:dyDescent="0.25">
      <c r="C9" s="48" t="s">
        <v>235</v>
      </c>
      <c r="D9" s="48" t="s">
        <v>236</v>
      </c>
      <c r="E9" s="48" t="s">
        <v>237</v>
      </c>
      <c r="F9" s="48" t="s">
        <v>239</v>
      </c>
      <c r="G9" s="48" t="s">
        <v>30</v>
      </c>
      <c r="H9" s="48" t="s">
        <v>238</v>
      </c>
      <c r="I9" s="48" t="s">
        <v>31</v>
      </c>
      <c r="J9" s="48" t="s">
        <v>240</v>
      </c>
      <c r="K9" s="48" t="s">
        <v>241</v>
      </c>
      <c r="L9" s="48"/>
    </row>
    <row r="10" spans="1:12" x14ac:dyDescent="0.25">
      <c r="A10">
        <v>1</v>
      </c>
      <c r="B10" t="s">
        <v>215</v>
      </c>
      <c r="C10" s="163">
        <v>1600</v>
      </c>
      <c r="D10" s="163">
        <v>1650</v>
      </c>
      <c r="E10" s="163">
        <v>1700</v>
      </c>
      <c r="F10" s="163">
        <v>1750</v>
      </c>
      <c r="G10" s="163">
        <v>1800</v>
      </c>
      <c r="H10" s="163">
        <v>1800</v>
      </c>
      <c r="I10" s="163">
        <v>1800</v>
      </c>
      <c r="J10" s="163">
        <v>1200</v>
      </c>
      <c r="K10" t="s">
        <v>214</v>
      </c>
    </row>
    <row r="11" spans="1:12" x14ac:dyDescent="0.25">
      <c r="A11">
        <v>2</v>
      </c>
      <c r="B11" t="s">
        <v>216</v>
      </c>
      <c r="C11" s="163">
        <v>1600</v>
      </c>
      <c r="D11" s="163">
        <v>1600</v>
      </c>
      <c r="E11" s="163">
        <v>1600</v>
      </c>
      <c r="F11" s="163">
        <v>1700</v>
      </c>
      <c r="G11" s="163">
        <v>1700</v>
      </c>
      <c r="H11" s="163">
        <v>1800</v>
      </c>
      <c r="I11" s="163">
        <v>1800</v>
      </c>
      <c r="J11">
        <v>900</v>
      </c>
      <c r="K11" t="s">
        <v>214</v>
      </c>
    </row>
    <row r="12" spans="1:12" x14ac:dyDescent="0.25">
      <c r="A12">
        <v>3</v>
      </c>
      <c r="B12" t="s">
        <v>217</v>
      </c>
      <c r="C12" s="163">
        <v>1400</v>
      </c>
      <c r="D12" s="163">
        <v>1400</v>
      </c>
      <c r="E12" s="163">
        <v>1600</v>
      </c>
      <c r="F12" s="163">
        <v>1600</v>
      </c>
      <c r="G12" s="163">
        <v>1600</v>
      </c>
      <c r="H12" s="163">
        <v>1800</v>
      </c>
      <c r="I12" s="163">
        <v>1800</v>
      </c>
      <c r="J12">
        <v>900</v>
      </c>
      <c r="K12" t="s">
        <v>214</v>
      </c>
    </row>
    <row r="13" spans="1:12" x14ac:dyDescent="0.25">
      <c r="A13">
        <v>4</v>
      </c>
      <c r="B13" t="s">
        <v>218</v>
      </c>
      <c r="C13" s="163">
        <v>1600</v>
      </c>
      <c r="D13" s="163">
        <v>1650</v>
      </c>
      <c r="E13" s="163">
        <v>1700</v>
      </c>
      <c r="F13" s="163">
        <v>1750</v>
      </c>
      <c r="G13" s="163">
        <v>1800</v>
      </c>
      <c r="H13" s="163">
        <v>1800</v>
      </c>
      <c r="I13" s="163">
        <v>1800</v>
      </c>
      <c r="J13">
        <v>900</v>
      </c>
      <c r="K13" t="s">
        <v>214</v>
      </c>
    </row>
    <row r="14" spans="1:12" x14ac:dyDescent="0.25">
      <c r="A14">
        <v>5</v>
      </c>
      <c r="B14" t="s">
        <v>219</v>
      </c>
      <c r="C14" s="163">
        <v>1600</v>
      </c>
      <c r="D14" s="163">
        <v>1600</v>
      </c>
      <c r="E14" s="163">
        <v>1600</v>
      </c>
      <c r="F14" s="163">
        <v>1700</v>
      </c>
      <c r="G14" s="163">
        <v>1700</v>
      </c>
      <c r="H14" s="163">
        <v>1800</v>
      </c>
      <c r="I14" s="163">
        <v>1800</v>
      </c>
      <c r="J14">
        <v>900</v>
      </c>
      <c r="K14" s="163">
        <v>1200</v>
      </c>
    </row>
    <row r="15" spans="1:12" x14ac:dyDescent="0.25">
      <c r="A15">
        <v>6</v>
      </c>
      <c r="B15" t="s">
        <v>220</v>
      </c>
      <c r="C15" s="163">
        <v>1600</v>
      </c>
      <c r="D15" s="163">
        <v>1600</v>
      </c>
      <c r="E15" s="163">
        <v>1600</v>
      </c>
      <c r="F15" s="163">
        <v>1650</v>
      </c>
      <c r="G15" s="163">
        <v>1650</v>
      </c>
      <c r="H15" s="163">
        <v>1700</v>
      </c>
      <c r="I15" s="163">
        <v>1700</v>
      </c>
      <c r="J15" t="s">
        <v>214</v>
      </c>
      <c r="K15">
        <v>900</v>
      </c>
    </row>
    <row r="16" spans="1:12" x14ac:dyDescent="0.25">
      <c r="A16">
        <v>7</v>
      </c>
      <c r="B16" t="s">
        <v>221</v>
      </c>
      <c r="C16" s="163">
        <v>1400</v>
      </c>
      <c r="D16" s="163">
        <v>1400</v>
      </c>
      <c r="E16" s="163">
        <v>1400</v>
      </c>
      <c r="F16" s="163">
        <v>1400</v>
      </c>
      <c r="G16" s="163">
        <v>1400</v>
      </c>
      <c r="H16" s="163">
        <v>1400</v>
      </c>
      <c r="I16" s="163">
        <v>1400</v>
      </c>
      <c r="J16" t="s">
        <v>214</v>
      </c>
      <c r="K16">
        <v>900</v>
      </c>
    </row>
    <row r="17" spans="1:11" x14ac:dyDescent="0.25">
      <c r="A17">
        <v>8</v>
      </c>
      <c r="B17" t="s">
        <v>222</v>
      </c>
      <c r="C17" s="163">
        <v>1200</v>
      </c>
      <c r="D17" s="163">
        <v>1200</v>
      </c>
      <c r="E17" s="163">
        <v>1200</v>
      </c>
      <c r="F17" s="163">
        <v>1200</v>
      </c>
      <c r="G17" s="163">
        <v>1200</v>
      </c>
      <c r="H17" s="163">
        <v>1200</v>
      </c>
      <c r="I17" s="163">
        <v>1200</v>
      </c>
      <c r="J17" t="s">
        <v>214</v>
      </c>
      <c r="K17">
        <v>900</v>
      </c>
    </row>
    <row r="18" spans="1:11" x14ac:dyDescent="0.25">
      <c r="A18">
        <v>9</v>
      </c>
      <c r="B18" t="s">
        <v>223</v>
      </c>
      <c r="C18" s="163">
        <v>1200</v>
      </c>
      <c r="D18" s="163">
        <v>1200</v>
      </c>
      <c r="E18" s="163">
        <v>1200</v>
      </c>
      <c r="F18" s="163">
        <v>1200</v>
      </c>
      <c r="G18" s="163">
        <v>1200</v>
      </c>
      <c r="H18" s="163">
        <v>1200</v>
      </c>
      <c r="I18" s="163">
        <v>1200</v>
      </c>
      <c r="J18" t="s">
        <v>214</v>
      </c>
      <c r="K18" t="s">
        <v>214</v>
      </c>
    </row>
    <row r="19" spans="1:11" x14ac:dyDescent="0.25">
      <c r="A19">
        <v>10</v>
      </c>
      <c r="B19" t="s">
        <v>224</v>
      </c>
      <c r="C19" s="163">
        <v>1200</v>
      </c>
      <c r="D19" s="163">
        <v>1200</v>
      </c>
      <c r="E19" s="163">
        <v>1200</v>
      </c>
      <c r="F19" s="163">
        <v>1200</v>
      </c>
      <c r="G19" s="163">
        <v>1200</v>
      </c>
      <c r="H19" s="163">
        <v>1200</v>
      </c>
      <c r="I19" s="163">
        <v>1200</v>
      </c>
      <c r="J19" t="s">
        <v>214</v>
      </c>
      <c r="K19">
        <v>600</v>
      </c>
    </row>
    <row r="20" spans="1:11" x14ac:dyDescent="0.25">
      <c r="A20">
        <v>11</v>
      </c>
      <c r="B20" t="s">
        <v>225</v>
      </c>
      <c r="C20" s="163">
        <v>1200</v>
      </c>
      <c r="D20" s="163">
        <v>1300</v>
      </c>
      <c r="E20" s="163">
        <v>1400</v>
      </c>
      <c r="F20" s="163">
        <v>1500</v>
      </c>
      <c r="G20" s="163">
        <v>1600</v>
      </c>
      <c r="H20" s="163">
        <v>1600</v>
      </c>
      <c r="I20" s="163">
        <v>1600</v>
      </c>
      <c r="J20">
        <v>600</v>
      </c>
      <c r="K20" t="s">
        <v>214</v>
      </c>
    </row>
    <row r="21" spans="1:11" x14ac:dyDescent="0.25">
      <c r="A21">
        <v>12</v>
      </c>
      <c r="B21" t="s">
        <v>226</v>
      </c>
      <c r="C21" s="163">
        <v>1000</v>
      </c>
      <c r="D21" s="163">
        <v>1050</v>
      </c>
      <c r="E21" s="163">
        <v>1100</v>
      </c>
      <c r="F21" s="163">
        <v>1150</v>
      </c>
      <c r="G21" s="163">
        <v>1200</v>
      </c>
      <c r="H21" s="163">
        <v>1250</v>
      </c>
      <c r="I21" s="163">
        <v>1350</v>
      </c>
      <c r="J21">
        <v>300</v>
      </c>
      <c r="K21" t="s">
        <v>214</v>
      </c>
    </row>
    <row r="22" spans="1:11" x14ac:dyDescent="0.25">
      <c r="A22">
        <v>13</v>
      </c>
      <c r="B22" t="s">
        <v>227</v>
      </c>
      <c r="C22">
        <v>900</v>
      </c>
      <c r="D22">
        <v>900</v>
      </c>
      <c r="E22">
        <v>950</v>
      </c>
      <c r="F22" s="163">
        <v>1000</v>
      </c>
      <c r="G22" s="163">
        <v>1000</v>
      </c>
      <c r="H22" s="163">
        <v>1050</v>
      </c>
      <c r="I22" s="163">
        <v>1100</v>
      </c>
      <c r="J22">
        <v>300</v>
      </c>
      <c r="K22" t="s">
        <v>214</v>
      </c>
    </row>
    <row r="23" spans="1:11" x14ac:dyDescent="0.25">
      <c r="A23">
        <v>14</v>
      </c>
      <c r="B23" t="s">
        <v>228</v>
      </c>
      <c r="C23">
        <v>800</v>
      </c>
      <c r="D23">
        <v>800</v>
      </c>
      <c r="E23">
        <v>850</v>
      </c>
      <c r="F23">
        <v>900</v>
      </c>
      <c r="G23">
        <v>900</v>
      </c>
      <c r="H23">
        <v>950</v>
      </c>
      <c r="I23" s="163">
        <v>1000</v>
      </c>
      <c r="J23">
        <v>300</v>
      </c>
      <c r="K23" t="s">
        <v>214</v>
      </c>
    </row>
    <row r="24" spans="1:11" x14ac:dyDescent="0.25">
      <c r="A24">
        <v>15</v>
      </c>
      <c r="B24" t="s">
        <v>229</v>
      </c>
      <c r="C24">
        <v>650</v>
      </c>
      <c r="D24">
        <v>700</v>
      </c>
      <c r="E24">
        <v>750</v>
      </c>
      <c r="F24">
        <v>750</v>
      </c>
      <c r="G24">
        <v>800</v>
      </c>
      <c r="H24">
        <v>850</v>
      </c>
      <c r="I24">
        <v>900</v>
      </c>
      <c r="J24">
        <v>300</v>
      </c>
      <c r="K24" t="s">
        <v>214</v>
      </c>
    </row>
    <row r="25" spans="1:11" x14ac:dyDescent="0.25">
      <c r="A25">
        <v>16</v>
      </c>
      <c r="B25" t="s">
        <v>230</v>
      </c>
      <c r="C25">
        <v>600</v>
      </c>
      <c r="D25">
        <v>600</v>
      </c>
      <c r="E25">
        <v>650</v>
      </c>
      <c r="F25">
        <v>700</v>
      </c>
      <c r="G25">
        <v>700</v>
      </c>
      <c r="H25">
        <v>750</v>
      </c>
      <c r="I25">
        <v>800</v>
      </c>
      <c r="J25" t="s">
        <v>214</v>
      </c>
      <c r="K25" t="s">
        <v>214</v>
      </c>
    </row>
    <row r="26" spans="1:11" x14ac:dyDescent="0.25">
      <c r="A26">
        <v>17</v>
      </c>
      <c r="B26" t="s">
        <v>231</v>
      </c>
      <c r="C26">
        <v>550</v>
      </c>
      <c r="D26">
        <v>600</v>
      </c>
      <c r="E26">
        <v>600</v>
      </c>
      <c r="F26">
        <v>650</v>
      </c>
      <c r="G26">
        <v>650</v>
      </c>
      <c r="H26">
        <v>700</v>
      </c>
      <c r="I26">
        <v>700</v>
      </c>
      <c r="J26" t="s">
        <v>214</v>
      </c>
      <c r="K26" t="s">
        <v>214</v>
      </c>
    </row>
    <row r="27" spans="1:11" x14ac:dyDescent="0.25">
      <c r="A27">
        <v>18</v>
      </c>
      <c r="B27" t="s">
        <v>232</v>
      </c>
      <c r="C27">
        <v>400</v>
      </c>
      <c r="D27">
        <v>400</v>
      </c>
      <c r="E27">
        <v>450</v>
      </c>
      <c r="F27">
        <v>450</v>
      </c>
      <c r="G27">
        <v>500</v>
      </c>
      <c r="H27">
        <v>550</v>
      </c>
      <c r="I27">
        <v>600</v>
      </c>
      <c r="J27" t="s">
        <v>214</v>
      </c>
      <c r="K27" t="s">
        <v>214</v>
      </c>
    </row>
    <row r="28" spans="1:11" x14ac:dyDescent="0.25">
      <c r="A28">
        <v>19</v>
      </c>
      <c r="B28" t="s">
        <v>233</v>
      </c>
      <c r="C28" s="163">
        <v>1200</v>
      </c>
      <c r="D28" s="163">
        <v>1200</v>
      </c>
      <c r="E28" s="163">
        <v>1200</v>
      </c>
      <c r="F28" s="163">
        <v>1200</v>
      </c>
      <c r="G28" s="163">
        <v>1200</v>
      </c>
      <c r="H28" s="163">
        <v>1200</v>
      </c>
      <c r="I28" s="163">
        <v>1200</v>
      </c>
      <c r="J28" t="s">
        <v>214</v>
      </c>
      <c r="K28">
        <v>600</v>
      </c>
    </row>
    <row r="29" spans="1:11" x14ac:dyDescent="0.25">
      <c r="A29">
        <v>20</v>
      </c>
      <c r="B29" t="s">
        <v>234</v>
      </c>
      <c r="C29" s="163">
        <v>1600</v>
      </c>
      <c r="D29" s="163">
        <v>1600</v>
      </c>
      <c r="E29" s="163">
        <v>1600</v>
      </c>
      <c r="F29" s="163">
        <v>1700</v>
      </c>
      <c r="G29" s="163">
        <v>1700</v>
      </c>
      <c r="H29" s="163">
        <v>1800</v>
      </c>
      <c r="I29" s="163">
        <v>1800</v>
      </c>
      <c r="J29" t="s">
        <v>214</v>
      </c>
      <c r="K29">
        <v>900</v>
      </c>
    </row>
    <row r="33" spans="1:10" ht="30" x14ac:dyDescent="0.25">
      <c r="C33" s="48" t="s">
        <v>235</v>
      </c>
      <c r="D33" s="48" t="s">
        <v>236</v>
      </c>
      <c r="E33" s="48" t="s">
        <v>237</v>
      </c>
      <c r="F33" s="48" t="s">
        <v>239</v>
      </c>
      <c r="G33" s="48" t="s">
        <v>30</v>
      </c>
      <c r="H33" s="48" t="s">
        <v>238</v>
      </c>
      <c r="I33" s="48" t="s">
        <v>31</v>
      </c>
      <c r="J33" s="48" t="s">
        <v>241</v>
      </c>
    </row>
    <row r="34" spans="1:10" x14ac:dyDescent="0.25">
      <c r="A34">
        <v>1</v>
      </c>
      <c r="B34" t="s">
        <v>215</v>
      </c>
      <c r="C34">
        <v>55</v>
      </c>
      <c r="D34">
        <v>58</v>
      </c>
      <c r="E34">
        <v>58</v>
      </c>
      <c r="F34">
        <v>61</v>
      </c>
      <c r="G34">
        <v>61</v>
      </c>
      <c r="H34">
        <v>63</v>
      </c>
      <c r="I34">
        <v>65</v>
      </c>
    </row>
    <row r="35" spans="1:10" x14ac:dyDescent="0.25">
      <c r="A35">
        <v>2</v>
      </c>
      <c r="B35" t="s">
        <v>216</v>
      </c>
      <c r="C35">
        <v>50</v>
      </c>
      <c r="D35">
        <v>50</v>
      </c>
      <c r="E35">
        <v>55</v>
      </c>
      <c r="F35">
        <v>55</v>
      </c>
      <c r="G35">
        <v>57</v>
      </c>
      <c r="H35">
        <v>60</v>
      </c>
      <c r="I35">
        <v>60</v>
      </c>
    </row>
    <row r="36" spans="1:10" x14ac:dyDescent="0.25">
      <c r="A36">
        <v>3</v>
      </c>
      <c r="B36" t="s">
        <v>217</v>
      </c>
      <c r="C36">
        <v>55</v>
      </c>
      <c r="D36">
        <v>58</v>
      </c>
      <c r="E36">
        <v>58</v>
      </c>
      <c r="F36">
        <v>61</v>
      </c>
      <c r="G36">
        <v>61</v>
      </c>
      <c r="H36">
        <v>63</v>
      </c>
      <c r="I36">
        <v>65</v>
      </c>
    </row>
    <row r="37" spans="1:10" x14ac:dyDescent="0.25">
      <c r="A37">
        <v>4</v>
      </c>
      <c r="B37" t="s">
        <v>218</v>
      </c>
      <c r="C37">
        <v>55</v>
      </c>
      <c r="D37">
        <v>58</v>
      </c>
      <c r="E37">
        <v>58</v>
      </c>
      <c r="F37">
        <v>61</v>
      </c>
      <c r="G37">
        <v>61</v>
      </c>
      <c r="H37">
        <v>63</v>
      </c>
      <c r="I37">
        <v>65</v>
      </c>
    </row>
    <row r="38" spans="1:10" x14ac:dyDescent="0.25">
      <c r="A38">
        <v>5</v>
      </c>
      <c r="B38" t="s">
        <v>219</v>
      </c>
      <c r="C38">
        <v>50</v>
      </c>
      <c r="D38">
        <v>50</v>
      </c>
      <c r="E38">
        <v>55</v>
      </c>
      <c r="F38">
        <v>55</v>
      </c>
      <c r="G38">
        <v>57</v>
      </c>
      <c r="H38">
        <v>60</v>
      </c>
      <c r="I38">
        <v>60</v>
      </c>
      <c r="J38">
        <v>15</v>
      </c>
    </row>
    <row r="39" spans="1:10" x14ac:dyDescent="0.25">
      <c r="A39">
        <v>6</v>
      </c>
      <c r="B39" t="s">
        <v>220</v>
      </c>
      <c r="C39">
        <v>50</v>
      </c>
      <c r="D39">
        <v>50</v>
      </c>
      <c r="E39">
        <v>50</v>
      </c>
      <c r="F39">
        <v>50</v>
      </c>
      <c r="G39">
        <v>50</v>
      </c>
      <c r="H39">
        <v>50</v>
      </c>
      <c r="I39">
        <v>50</v>
      </c>
      <c r="J39">
        <v>10</v>
      </c>
    </row>
    <row r="40" spans="1:10" x14ac:dyDescent="0.25">
      <c r="A40">
        <v>7</v>
      </c>
      <c r="B40" t="s">
        <v>221</v>
      </c>
      <c r="C40">
        <v>40</v>
      </c>
      <c r="D40">
        <v>40</v>
      </c>
      <c r="E40">
        <v>40</v>
      </c>
      <c r="F40">
        <v>40</v>
      </c>
      <c r="G40">
        <v>40</v>
      </c>
      <c r="H40">
        <v>40</v>
      </c>
      <c r="I40">
        <v>40</v>
      </c>
      <c r="J40">
        <v>10</v>
      </c>
    </row>
    <row r="41" spans="1:10" x14ac:dyDescent="0.25">
      <c r="A41">
        <v>8</v>
      </c>
      <c r="B41" t="s">
        <v>222</v>
      </c>
      <c r="C41">
        <v>30</v>
      </c>
      <c r="D41">
        <v>30</v>
      </c>
      <c r="E41">
        <v>30</v>
      </c>
      <c r="F41">
        <v>30</v>
      </c>
      <c r="G41">
        <v>30</v>
      </c>
      <c r="H41">
        <v>30</v>
      </c>
      <c r="I41">
        <v>30</v>
      </c>
      <c r="J41">
        <v>10</v>
      </c>
    </row>
    <row r="42" spans="1:10" x14ac:dyDescent="0.25">
      <c r="A42">
        <v>9</v>
      </c>
      <c r="B42" t="s">
        <v>223</v>
      </c>
      <c r="C42">
        <v>25</v>
      </c>
      <c r="D42">
        <v>25</v>
      </c>
      <c r="E42">
        <v>25</v>
      </c>
      <c r="F42">
        <v>25</v>
      </c>
      <c r="G42">
        <v>25</v>
      </c>
      <c r="H42">
        <v>25</v>
      </c>
      <c r="I42">
        <v>25</v>
      </c>
    </row>
    <row r="43" spans="1:10" x14ac:dyDescent="0.25">
      <c r="A43">
        <v>10</v>
      </c>
      <c r="B43" t="s">
        <v>224</v>
      </c>
      <c r="C43">
        <v>40</v>
      </c>
      <c r="D43">
        <v>40</v>
      </c>
      <c r="E43">
        <v>40</v>
      </c>
      <c r="F43">
        <v>40</v>
      </c>
      <c r="G43">
        <v>40</v>
      </c>
      <c r="H43">
        <v>40</v>
      </c>
      <c r="I43">
        <v>40</v>
      </c>
      <c r="J43">
        <v>5</v>
      </c>
    </row>
    <row r="44" spans="1:10" x14ac:dyDescent="0.25">
      <c r="A44">
        <v>11</v>
      </c>
      <c r="B44" t="s">
        <v>225</v>
      </c>
      <c r="C44">
        <v>40</v>
      </c>
      <c r="D44">
        <v>42</v>
      </c>
      <c r="E44">
        <v>45</v>
      </c>
      <c r="F44">
        <v>48</v>
      </c>
      <c r="G44">
        <v>52</v>
      </c>
      <c r="H44">
        <v>55</v>
      </c>
      <c r="I44">
        <v>60</v>
      </c>
    </row>
    <row r="45" spans="1:10" x14ac:dyDescent="0.25">
      <c r="A45">
        <v>12</v>
      </c>
      <c r="B45" t="s">
        <v>226</v>
      </c>
      <c r="C45">
        <v>26</v>
      </c>
      <c r="D45">
        <v>30</v>
      </c>
      <c r="E45">
        <v>33</v>
      </c>
      <c r="F45">
        <v>36</v>
      </c>
      <c r="G45">
        <v>42</v>
      </c>
      <c r="H45">
        <v>46</v>
      </c>
      <c r="I45">
        <v>55</v>
      </c>
    </row>
    <row r="46" spans="1:10" x14ac:dyDescent="0.25">
      <c r="A46">
        <v>13</v>
      </c>
      <c r="B46" t="s">
        <v>227</v>
      </c>
      <c r="C46">
        <v>24</v>
      </c>
      <c r="D46">
        <v>27</v>
      </c>
      <c r="E46">
        <v>30</v>
      </c>
      <c r="F46">
        <v>34</v>
      </c>
      <c r="G46">
        <v>40</v>
      </c>
      <c r="H46">
        <v>44</v>
      </c>
      <c r="I46">
        <v>48</v>
      </c>
    </row>
    <row r="47" spans="1:10" x14ac:dyDescent="0.25">
      <c r="A47">
        <v>14</v>
      </c>
      <c r="B47" t="s">
        <v>228</v>
      </c>
      <c r="C47">
        <v>22</v>
      </c>
      <c r="D47">
        <v>25</v>
      </c>
      <c r="E47">
        <v>28</v>
      </c>
      <c r="F47">
        <v>31</v>
      </c>
      <c r="G47">
        <v>38</v>
      </c>
      <c r="H47">
        <v>42</v>
      </c>
      <c r="I47">
        <v>45</v>
      </c>
    </row>
    <row r="48" spans="1:10" x14ac:dyDescent="0.25">
      <c r="A48">
        <v>15</v>
      </c>
      <c r="B48" t="s">
        <v>229</v>
      </c>
      <c r="C48">
        <v>20</v>
      </c>
      <c r="D48">
        <v>23</v>
      </c>
      <c r="E48">
        <v>26</v>
      </c>
      <c r="F48">
        <v>29</v>
      </c>
      <c r="G48">
        <v>34</v>
      </c>
      <c r="H48">
        <v>38</v>
      </c>
      <c r="I48">
        <v>42</v>
      </c>
    </row>
    <row r="49" spans="1:10" x14ac:dyDescent="0.25">
      <c r="A49">
        <v>16</v>
      </c>
      <c r="B49" t="s">
        <v>230</v>
      </c>
      <c r="C49">
        <v>20</v>
      </c>
      <c r="D49">
        <v>27</v>
      </c>
      <c r="E49">
        <v>30</v>
      </c>
      <c r="F49">
        <v>33</v>
      </c>
      <c r="G49">
        <v>36</v>
      </c>
      <c r="H49">
        <v>39</v>
      </c>
      <c r="I49">
        <v>42</v>
      </c>
    </row>
    <row r="50" spans="1:10" x14ac:dyDescent="0.25">
      <c r="A50">
        <v>17</v>
      </c>
      <c r="B50" t="s">
        <v>231</v>
      </c>
      <c r="C50">
        <v>18</v>
      </c>
      <c r="D50">
        <v>22</v>
      </c>
      <c r="E50">
        <v>25</v>
      </c>
      <c r="F50">
        <v>28</v>
      </c>
      <c r="G50">
        <v>31</v>
      </c>
      <c r="H50">
        <v>34</v>
      </c>
      <c r="I50">
        <v>38</v>
      </c>
    </row>
    <row r="51" spans="1:10" x14ac:dyDescent="0.25">
      <c r="A51">
        <v>18</v>
      </c>
      <c r="B51" t="s">
        <v>232</v>
      </c>
      <c r="C51">
        <v>15</v>
      </c>
      <c r="D51">
        <v>18</v>
      </c>
      <c r="E51">
        <v>21</v>
      </c>
      <c r="F51">
        <v>24</v>
      </c>
      <c r="G51">
        <v>27</v>
      </c>
      <c r="H51">
        <v>30</v>
      </c>
      <c r="I51">
        <v>35</v>
      </c>
    </row>
    <row r="52" spans="1:10" x14ac:dyDescent="0.25">
      <c r="A52">
        <v>19</v>
      </c>
      <c r="B52" t="s">
        <v>233</v>
      </c>
      <c r="C52">
        <v>30</v>
      </c>
      <c r="D52">
        <v>30</v>
      </c>
      <c r="E52">
        <v>30</v>
      </c>
      <c r="F52">
        <v>30</v>
      </c>
      <c r="G52">
        <v>30</v>
      </c>
      <c r="H52">
        <v>30</v>
      </c>
      <c r="I52">
        <v>30</v>
      </c>
      <c r="J52">
        <v>5</v>
      </c>
    </row>
    <row r="53" spans="1:10" x14ac:dyDescent="0.25">
      <c r="A53">
        <v>20</v>
      </c>
      <c r="B53" t="s">
        <v>234</v>
      </c>
      <c r="C53">
        <v>45</v>
      </c>
      <c r="D53">
        <v>45</v>
      </c>
      <c r="E53">
        <v>45</v>
      </c>
      <c r="F53">
        <v>45</v>
      </c>
      <c r="G53">
        <v>45</v>
      </c>
      <c r="H53">
        <v>45</v>
      </c>
      <c r="I53">
        <v>45</v>
      </c>
      <c r="J53">
        <v>10</v>
      </c>
    </row>
    <row r="54" spans="1:10" s="1001" customFormat="1" x14ac:dyDescent="0.25"/>
    <row r="55" spans="1:10" s="1001" customFormat="1" ht="15.75" x14ac:dyDescent="0.25">
      <c r="A55" s="1158" t="s">
        <v>867</v>
      </c>
      <c r="B55" s="294"/>
      <c r="C55" s="294"/>
      <c r="D55" s="294"/>
      <c r="E55" s="294"/>
      <c r="F55" s="294"/>
      <c r="G55" s="294"/>
      <c r="H55" s="294"/>
      <c r="I55" s="294"/>
      <c r="J55" s="294"/>
    </row>
    <row r="56" spans="1:10" s="1001" customFormat="1" ht="15.75" x14ac:dyDescent="0.25">
      <c r="A56" s="1163" t="s">
        <v>878</v>
      </c>
      <c r="B56" s="303"/>
      <c r="C56" s="303"/>
      <c r="D56" s="303"/>
      <c r="E56" s="303"/>
      <c r="F56" s="303"/>
      <c r="G56" s="303"/>
      <c r="H56" s="303"/>
      <c r="I56" s="303"/>
      <c r="J56" s="303"/>
    </row>
    <row r="57" spans="1:10" s="1001" customFormat="1" x14ac:dyDescent="0.25">
      <c r="A57" s="1309" t="s">
        <v>869</v>
      </c>
      <c r="B57" s="1159" t="s">
        <v>870</v>
      </c>
      <c r="C57" s="1159" t="s">
        <v>879</v>
      </c>
    </row>
    <row r="58" spans="1:10" s="1001" customFormat="1" ht="25.5" x14ac:dyDescent="0.25">
      <c r="A58" s="1310"/>
      <c r="B58" s="1160" t="s">
        <v>871</v>
      </c>
      <c r="C58" s="1160" t="s">
        <v>880</v>
      </c>
    </row>
    <row r="59" spans="1:10" s="1001" customFormat="1" x14ac:dyDescent="0.25">
      <c r="A59" s="1161" t="s">
        <v>3</v>
      </c>
      <c r="B59" s="1162" t="s">
        <v>872</v>
      </c>
      <c r="C59" s="1162" t="s">
        <v>881</v>
      </c>
    </row>
    <row r="60" spans="1:10" s="1001" customFormat="1" ht="25.5" x14ac:dyDescent="0.25">
      <c r="A60" s="1161" t="s">
        <v>4</v>
      </c>
      <c r="B60" s="1162" t="s">
        <v>873</v>
      </c>
      <c r="C60" s="1162" t="s">
        <v>882</v>
      </c>
    </row>
    <row r="61" spans="1:10" s="302" customFormat="1" ht="25.5" x14ac:dyDescent="0.25">
      <c r="A61" s="1161" t="s">
        <v>5</v>
      </c>
      <c r="B61" s="1162" t="s">
        <v>874</v>
      </c>
      <c r="C61" s="1162" t="s">
        <v>883</v>
      </c>
    </row>
    <row r="62" spans="1:10" s="1001" customFormat="1" ht="76.5" x14ac:dyDescent="0.25">
      <c r="A62" s="1161" t="s">
        <v>6</v>
      </c>
      <c r="B62" s="1162" t="s">
        <v>875</v>
      </c>
      <c r="C62" s="1162" t="s">
        <v>884</v>
      </c>
    </row>
    <row r="63" spans="1:10" s="1001" customFormat="1" ht="25.5" x14ac:dyDescent="0.25">
      <c r="A63" s="1161" t="s">
        <v>7</v>
      </c>
      <c r="B63" s="1162" t="s">
        <v>876</v>
      </c>
      <c r="C63" s="1162" t="s">
        <v>885</v>
      </c>
    </row>
    <row r="64" spans="1:10" s="1001" customFormat="1" x14ac:dyDescent="0.25">
      <c r="A64" s="1161" t="s">
        <v>8</v>
      </c>
      <c r="B64" s="1162" t="s">
        <v>877</v>
      </c>
      <c r="C64" s="1162" t="s">
        <v>886</v>
      </c>
    </row>
    <row r="65" spans="1:10" s="1001" customFormat="1" x14ac:dyDescent="0.25"/>
    <row r="66" spans="1:10" s="302" customFormat="1" ht="15.75" x14ac:dyDescent="0.25">
      <c r="A66" s="1158" t="s">
        <v>722</v>
      </c>
      <c r="B66" s="294"/>
      <c r="C66" s="294"/>
      <c r="D66" s="294"/>
      <c r="E66" s="294"/>
      <c r="F66" s="294"/>
      <c r="G66" s="294"/>
      <c r="H66" s="294"/>
      <c r="I66" s="294"/>
      <c r="J66" s="294"/>
    </row>
    <row r="67" spans="1:10" s="302" customFormat="1" ht="15.75" x14ac:dyDescent="0.25">
      <c r="A67" s="1001"/>
      <c r="B67" s="1163" t="s">
        <v>887</v>
      </c>
    </row>
    <row r="68" spans="1:10" s="302" customFormat="1" ht="25.5" x14ac:dyDescent="0.25">
      <c r="B68" s="72" t="s">
        <v>61</v>
      </c>
      <c r="C68" s="73" t="s">
        <v>62</v>
      </c>
      <c r="D68" s="74" t="s">
        <v>54</v>
      </c>
      <c r="E68" s="74" t="s">
        <v>90</v>
      </c>
      <c r="F68" s="73" t="s">
        <v>91</v>
      </c>
    </row>
    <row r="69" spans="1:10" s="302" customFormat="1" ht="63.75" x14ac:dyDescent="0.25">
      <c r="B69" s="153" t="s">
        <v>63</v>
      </c>
      <c r="C69" s="154" t="s">
        <v>55</v>
      </c>
      <c r="D69" s="155" t="s">
        <v>3</v>
      </c>
      <c r="E69" s="156" t="s">
        <v>92</v>
      </c>
      <c r="F69" s="154" t="s">
        <v>93</v>
      </c>
    </row>
    <row r="70" spans="1:10" s="302" customFormat="1" ht="76.5" x14ac:dyDescent="0.25">
      <c r="B70" s="153" t="s">
        <v>64</v>
      </c>
      <c r="C70" s="154" t="s">
        <v>56</v>
      </c>
      <c r="D70" s="155" t="s">
        <v>4</v>
      </c>
      <c r="E70" s="157" t="s">
        <v>94</v>
      </c>
      <c r="F70" s="154" t="s">
        <v>95</v>
      </c>
    </row>
    <row r="71" spans="1:10" s="302" customFormat="1" ht="76.5" x14ac:dyDescent="0.25">
      <c r="B71" s="153" t="s">
        <v>65</v>
      </c>
      <c r="C71" s="154" t="s">
        <v>57</v>
      </c>
      <c r="D71" s="155" t="s">
        <v>5</v>
      </c>
      <c r="E71" s="157" t="s">
        <v>96</v>
      </c>
      <c r="F71" s="154" t="s">
        <v>97</v>
      </c>
    </row>
    <row r="72" spans="1:10" s="302" customFormat="1" ht="76.5" x14ac:dyDescent="0.25">
      <c r="B72" s="153" t="s">
        <v>66</v>
      </c>
      <c r="C72" s="154" t="s">
        <v>58</v>
      </c>
      <c r="D72" s="155" t="s">
        <v>6</v>
      </c>
      <c r="E72" s="157" t="s">
        <v>98</v>
      </c>
      <c r="F72" s="154" t="s">
        <v>99</v>
      </c>
    </row>
    <row r="73" spans="1:10" s="302" customFormat="1" ht="153" x14ac:dyDescent="0.25">
      <c r="B73" s="153" t="s">
        <v>67</v>
      </c>
      <c r="C73" s="154" t="s">
        <v>59</v>
      </c>
      <c r="D73" s="155" t="s">
        <v>7</v>
      </c>
      <c r="E73" s="157" t="s">
        <v>100</v>
      </c>
      <c r="F73" s="154" t="s">
        <v>101</v>
      </c>
    </row>
    <row r="74" spans="1:10" s="302" customFormat="1" ht="102" x14ac:dyDescent="0.25">
      <c r="B74" s="153" t="s">
        <v>68</v>
      </c>
      <c r="C74" s="154" t="s">
        <v>60</v>
      </c>
      <c r="D74" s="155" t="s">
        <v>8</v>
      </c>
      <c r="E74" s="157" t="s">
        <v>102</v>
      </c>
      <c r="F74" s="154" t="s">
        <v>103</v>
      </c>
    </row>
    <row r="75" spans="1:10" s="302" customFormat="1" ht="15.75" thickBot="1" x14ac:dyDescent="0.3"/>
    <row r="76" spans="1:10" s="302" customFormat="1" ht="30.75" thickBot="1" x14ac:dyDescent="0.35">
      <c r="B76" s="158" t="s">
        <v>79</v>
      </c>
      <c r="C76" s="159"/>
      <c r="D76" s="159" t="s">
        <v>80</v>
      </c>
    </row>
    <row r="77" spans="1:10" s="302" customFormat="1" ht="15.75" thickBot="1" x14ac:dyDescent="0.3">
      <c r="B77" s="160" t="s">
        <v>81</v>
      </c>
      <c r="C77" s="243"/>
      <c r="D77" s="161">
        <v>60</v>
      </c>
    </row>
    <row r="78" spans="1:10" s="302" customFormat="1" ht="27.75" thickBot="1" x14ac:dyDescent="0.3">
      <c r="B78" s="160" t="s">
        <v>82</v>
      </c>
      <c r="C78" s="243"/>
      <c r="D78" s="161">
        <v>90</v>
      </c>
    </row>
    <row r="79" spans="1:10" s="302" customFormat="1" ht="41.25" thickBot="1" x14ac:dyDescent="0.3">
      <c r="B79" s="160" t="s">
        <v>83</v>
      </c>
      <c r="C79" s="243"/>
      <c r="D79" s="161">
        <v>120</v>
      </c>
    </row>
    <row r="80" spans="1:10" s="302" customFormat="1" ht="16.5" x14ac:dyDescent="0.3">
      <c r="B80" s="162" t="s">
        <v>84</v>
      </c>
      <c r="C80" s="162"/>
      <c r="D80" s="141"/>
      <c r="G80" s="1146" t="s">
        <v>104</v>
      </c>
    </row>
    <row r="81" spans="1:10" s="302" customFormat="1" ht="16.5" x14ac:dyDescent="0.3">
      <c r="B81" s="162"/>
      <c r="C81" s="162"/>
      <c r="D81" s="141"/>
      <c r="G81" s="1146" t="s">
        <v>105</v>
      </c>
    </row>
    <row r="82" spans="1:10" s="302" customFormat="1" ht="15.75" x14ac:dyDescent="0.25">
      <c r="A82" s="1158" t="s">
        <v>74</v>
      </c>
      <c r="B82" s="294"/>
      <c r="C82" s="294"/>
      <c r="D82" s="294"/>
      <c r="E82" s="294"/>
      <c r="F82" s="294"/>
      <c r="G82" s="294"/>
      <c r="H82" s="294"/>
      <c r="I82" s="294"/>
      <c r="J82" s="294"/>
    </row>
    <row r="83" spans="1:10" s="302" customFormat="1" ht="16.5" x14ac:dyDescent="0.3">
      <c r="B83" s="162"/>
      <c r="C83" s="162"/>
      <c r="D83" s="141"/>
    </row>
    <row r="84" spans="1:10" s="302" customFormat="1" ht="16.5" x14ac:dyDescent="0.3">
      <c r="B84" s="162"/>
      <c r="C84" s="162"/>
      <c r="D84" s="141"/>
    </row>
    <row r="85" spans="1:10" s="302" customFormat="1" ht="16.5" x14ac:dyDescent="0.3">
      <c r="B85" s="162"/>
      <c r="C85" s="162"/>
      <c r="D85" s="141"/>
    </row>
    <row r="86" spans="1:10" s="302" customFormat="1" ht="16.5" x14ac:dyDescent="0.3">
      <c r="B86" s="162"/>
      <c r="C86" s="162"/>
      <c r="D86" s="141"/>
    </row>
    <row r="87" spans="1:10" s="302" customFormat="1" ht="16.5" x14ac:dyDescent="0.3">
      <c r="B87" s="162"/>
      <c r="C87" s="162"/>
      <c r="D87" s="141"/>
    </row>
    <row r="88" spans="1:10" s="302" customFormat="1" ht="16.5" x14ac:dyDescent="0.3">
      <c r="B88" s="162"/>
      <c r="C88" s="162"/>
      <c r="D88" s="141"/>
    </row>
    <row r="89" spans="1:10" s="302" customFormat="1" ht="16.5" x14ac:dyDescent="0.3">
      <c r="B89" s="162"/>
      <c r="C89" s="162"/>
      <c r="D89" s="141"/>
    </row>
    <row r="90" spans="1:10" s="302" customFormat="1" ht="16.5" x14ac:dyDescent="0.3">
      <c r="B90" s="162"/>
      <c r="C90" s="162"/>
      <c r="D90" s="141"/>
    </row>
    <row r="91" spans="1:10" s="302" customFormat="1" ht="16.5" x14ac:dyDescent="0.3">
      <c r="B91" s="162"/>
      <c r="C91" s="162"/>
      <c r="D91" s="141"/>
    </row>
    <row r="92" spans="1:10" s="302" customFormat="1" ht="16.5" x14ac:dyDescent="0.3">
      <c r="B92" s="162"/>
      <c r="C92" s="162"/>
      <c r="D92" s="141"/>
    </row>
    <row r="93" spans="1:10" s="302" customFormat="1" ht="16.5" x14ac:dyDescent="0.3">
      <c r="B93" s="162"/>
      <c r="C93" s="162"/>
      <c r="D93" s="141"/>
    </row>
    <row r="94" spans="1:10" s="302" customFormat="1" ht="16.5" x14ac:dyDescent="0.3">
      <c r="B94" s="162"/>
      <c r="C94" s="162"/>
      <c r="D94" s="141"/>
    </row>
    <row r="95" spans="1:10" s="302" customFormat="1" ht="16.5" x14ac:dyDescent="0.3">
      <c r="B95" s="162"/>
      <c r="C95" s="162"/>
      <c r="D95" s="141"/>
    </row>
    <row r="96" spans="1:10" s="302" customFormat="1" ht="16.5" x14ac:dyDescent="0.3">
      <c r="B96" s="162"/>
      <c r="C96" s="162"/>
      <c r="D96" s="141"/>
    </row>
    <row r="97" spans="1:4" s="302" customFormat="1" ht="16.5" x14ac:dyDescent="0.3">
      <c r="B97" s="162"/>
      <c r="C97" s="162"/>
      <c r="D97" s="141"/>
    </row>
    <row r="98" spans="1:4" s="302" customFormat="1" ht="16.5" x14ac:dyDescent="0.3">
      <c r="B98" s="162"/>
      <c r="C98" s="162"/>
      <c r="D98" s="141"/>
    </row>
    <row r="99" spans="1:4" s="302" customFormat="1" ht="16.5" x14ac:dyDescent="0.3">
      <c r="B99" s="162"/>
      <c r="C99" s="162"/>
      <c r="D99" s="141"/>
    </row>
    <row r="100" spans="1:4" s="302" customFormat="1" ht="16.5" x14ac:dyDescent="0.3">
      <c r="B100" s="162"/>
      <c r="C100" s="162"/>
      <c r="D100" s="141"/>
    </row>
    <row r="101" spans="1:4" s="302" customFormat="1" ht="16.5" x14ac:dyDescent="0.3">
      <c r="A101" s="189" t="s">
        <v>27</v>
      </c>
      <c r="B101" s="162"/>
      <c r="C101" s="162"/>
      <c r="D101" s="141"/>
    </row>
    <row r="102" spans="1:4" s="302" customFormat="1" ht="16.5" x14ac:dyDescent="0.3">
      <c r="A102" s="189" t="s">
        <v>235</v>
      </c>
      <c r="B102" s="162"/>
      <c r="C102" s="162"/>
      <c r="D102" s="141"/>
    </row>
    <row r="103" spans="1:4" s="302" customFormat="1" ht="16.5" x14ac:dyDescent="0.3">
      <c r="A103" s="189" t="s">
        <v>236</v>
      </c>
      <c r="B103" s="162"/>
      <c r="C103" s="162"/>
      <c r="D103" s="141"/>
    </row>
    <row r="104" spans="1:4" s="302" customFormat="1" ht="16.5" x14ac:dyDescent="0.3">
      <c r="A104" s="189" t="s">
        <v>237</v>
      </c>
      <c r="B104" s="162"/>
      <c r="C104" s="162"/>
      <c r="D104" s="141"/>
    </row>
    <row r="105" spans="1:4" s="302" customFormat="1" ht="16.5" x14ac:dyDescent="0.3">
      <c r="A105" s="189" t="s">
        <v>239</v>
      </c>
      <c r="B105" s="162"/>
      <c r="C105" s="162"/>
      <c r="D105" s="141"/>
    </row>
    <row r="106" spans="1:4" s="302" customFormat="1" ht="16.5" x14ac:dyDescent="0.3">
      <c r="A106" s="189" t="s">
        <v>30</v>
      </c>
      <c r="B106" s="162"/>
      <c r="C106" s="162"/>
      <c r="D106" s="141"/>
    </row>
    <row r="107" spans="1:4" s="302" customFormat="1" ht="16.5" x14ac:dyDescent="0.3">
      <c r="A107" s="189" t="s">
        <v>238</v>
      </c>
      <c r="B107" s="162"/>
      <c r="C107" s="162"/>
      <c r="D107" s="141"/>
    </row>
    <row r="108" spans="1:4" s="302" customFormat="1" ht="16.5" x14ac:dyDescent="0.3">
      <c r="A108" s="189" t="s">
        <v>31</v>
      </c>
      <c r="B108" s="162"/>
      <c r="C108" s="162"/>
      <c r="D108" s="141"/>
    </row>
    <row r="109" spans="1:4" s="302" customFormat="1" ht="16.5" x14ac:dyDescent="0.3">
      <c r="B109" s="162"/>
      <c r="C109" s="162"/>
      <c r="D109" s="141"/>
    </row>
    <row r="110" spans="1:4" s="302" customFormat="1" ht="16.5" x14ac:dyDescent="0.3">
      <c r="B110" s="162"/>
      <c r="C110" s="162"/>
      <c r="D110" s="141"/>
    </row>
    <row r="111" spans="1:4" s="302" customFormat="1" ht="16.5" x14ac:dyDescent="0.3">
      <c r="B111" s="162"/>
      <c r="C111" s="162"/>
      <c r="D111" s="141"/>
    </row>
    <row r="112" spans="1:4" s="302" customFormat="1" ht="16.5" x14ac:dyDescent="0.3">
      <c r="B112" s="162"/>
      <c r="C112" s="162"/>
      <c r="D112" s="141"/>
    </row>
    <row r="113" spans="1:10" s="302" customFormat="1" ht="16.5" x14ac:dyDescent="0.3">
      <c r="B113" s="162"/>
      <c r="C113" s="162"/>
      <c r="D113" s="141"/>
    </row>
    <row r="114" spans="1:10" s="302" customFormat="1" ht="16.5" x14ac:dyDescent="0.3">
      <c r="B114" s="162"/>
      <c r="C114" s="162"/>
      <c r="D114" s="141"/>
    </row>
    <row r="115" spans="1:10" s="302" customFormat="1" ht="16.5" x14ac:dyDescent="0.3">
      <c r="B115" s="162"/>
      <c r="C115" s="162"/>
      <c r="D115" s="141"/>
    </row>
    <row r="116" spans="1:10" s="302" customFormat="1" ht="16.5" x14ac:dyDescent="0.3">
      <c r="B116" s="162"/>
      <c r="C116" s="162"/>
      <c r="D116" s="141"/>
    </row>
    <row r="117" spans="1:10" s="302" customFormat="1" ht="16.5" x14ac:dyDescent="0.3">
      <c r="B117" s="162"/>
      <c r="C117" s="162"/>
      <c r="D117" s="141"/>
    </row>
    <row r="118" spans="1:10" s="302" customFormat="1" ht="16.5" x14ac:dyDescent="0.3">
      <c r="B118" s="162"/>
      <c r="C118" s="162"/>
      <c r="D118" s="141"/>
    </row>
    <row r="120" spans="1:10" ht="15.75" x14ac:dyDescent="0.25">
      <c r="A120" s="1158" t="s">
        <v>699</v>
      </c>
      <c r="B120" s="294"/>
      <c r="C120" s="294"/>
      <c r="D120" s="294"/>
      <c r="E120" s="294"/>
      <c r="F120" s="294"/>
      <c r="G120" s="294"/>
      <c r="H120" s="294"/>
      <c r="I120" s="294"/>
      <c r="J120" s="294"/>
    </row>
    <row r="121" spans="1:10" ht="15" customHeight="1" x14ac:dyDescent="0.25">
      <c r="F121" s="222" t="s">
        <v>709</v>
      </c>
      <c r="I121">
        <v>2010</v>
      </c>
    </row>
    <row r="122" spans="1:10" x14ac:dyDescent="0.25">
      <c r="A122" s="295" t="s">
        <v>49</v>
      </c>
      <c r="B122" s="295" t="s">
        <v>27</v>
      </c>
      <c r="C122" s="295"/>
      <c r="D122" s="295"/>
      <c r="E122" s="295" t="s">
        <v>245</v>
      </c>
      <c r="F122" s="295" t="s">
        <v>251</v>
      </c>
      <c r="G122" s="295"/>
      <c r="H122" s="295"/>
      <c r="I122" s="295">
        <v>2011</v>
      </c>
    </row>
    <row r="123" spans="1:10" x14ac:dyDescent="0.25">
      <c r="A123" s="295" t="s">
        <v>215</v>
      </c>
      <c r="B123" s="295" t="s">
        <v>235</v>
      </c>
      <c r="C123" s="295"/>
      <c r="D123" s="295"/>
      <c r="E123" s="295">
        <v>8</v>
      </c>
      <c r="F123" s="295">
        <v>3</v>
      </c>
      <c r="G123" s="295"/>
      <c r="H123" s="295"/>
      <c r="I123" s="295">
        <v>2012</v>
      </c>
    </row>
    <row r="124" spans="1:10" x14ac:dyDescent="0.25">
      <c r="A124" s="295" t="s">
        <v>216</v>
      </c>
      <c r="B124" s="295" t="s">
        <v>236</v>
      </c>
      <c r="C124" s="295"/>
      <c r="D124" s="295"/>
      <c r="E124" s="295">
        <v>7</v>
      </c>
      <c r="F124" s="295">
        <v>3</v>
      </c>
      <c r="G124" s="295"/>
      <c r="H124" s="295"/>
      <c r="I124" s="296">
        <v>2013</v>
      </c>
    </row>
    <row r="125" spans="1:10" x14ac:dyDescent="0.25">
      <c r="A125" s="295" t="s">
        <v>225</v>
      </c>
      <c r="B125" s="295" t="s">
        <v>237</v>
      </c>
      <c r="C125" s="295"/>
      <c r="D125" s="295"/>
      <c r="E125" s="295">
        <v>6</v>
      </c>
      <c r="F125" s="295">
        <v>2</v>
      </c>
      <c r="G125" s="295"/>
      <c r="H125" s="295"/>
      <c r="I125" s="295">
        <v>2014</v>
      </c>
    </row>
    <row r="126" spans="1:10" x14ac:dyDescent="0.25">
      <c r="A126" s="295" t="s">
        <v>226</v>
      </c>
      <c r="B126" s="295" t="s">
        <v>239</v>
      </c>
      <c r="C126" s="295"/>
      <c r="D126" s="295"/>
      <c r="E126" s="295">
        <v>5</v>
      </c>
      <c r="F126" s="295">
        <v>2</v>
      </c>
      <c r="G126" s="295"/>
      <c r="H126" s="295"/>
      <c r="I126" s="295">
        <v>2015</v>
      </c>
    </row>
    <row r="127" spans="1:10" x14ac:dyDescent="0.25">
      <c r="A127" s="295" t="s">
        <v>227</v>
      </c>
      <c r="B127" s="295" t="s">
        <v>30</v>
      </c>
      <c r="C127" s="295"/>
      <c r="D127" s="295"/>
      <c r="E127" s="295">
        <v>4</v>
      </c>
      <c r="F127" s="295">
        <v>2</v>
      </c>
      <c r="G127" s="295"/>
      <c r="H127" s="295"/>
      <c r="I127" s="296">
        <v>2016</v>
      </c>
    </row>
    <row r="128" spans="1:10" x14ac:dyDescent="0.25">
      <c r="A128" s="295"/>
      <c r="B128" s="295" t="s">
        <v>238</v>
      </c>
      <c r="C128" s="295"/>
      <c r="D128" s="295"/>
      <c r="E128" s="295">
        <v>3</v>
      </c>
      <c r="F128" s="295">
        <v>1</v>
      </c>
      <c r="G128" s="295"/>
      <c r="H128" s="295"/>
      <c r="I128" s="295">
        <v>2017</v>
      </c>
    </row>
    <row r="129" spans="1:10" x14ac:dyDescent="0.25">
      <c r="A129" s="295"/>
      <c r="B129" s="295" t="s">
        <v>31</v>
      </c>
      <c r="C129" s="295"/>
      <c r="D129" s="295"/>
      <c r="E129" s="295">
        <v>2</v>
      </c>
      <c r="F129" s="295">
        <v>1</v>
      </c>
      <c r="G129" s="295"/>
      <c r="H129" s="295"/>
      <c r="I129" s="295">
        <v>2018</v>
      </c>
    </row>
    <row r="130" spans="1:10" x14ac:dyDescent="0.25">
      <c r="A130" s="295"/>
      <c r="B130" s="295"/>
      <c r="C130" s="295"/>
      <c r="D130" s="295"/>
      <c r="E130" s="295"/>
      <c r="F130" s="295"/>
      <c r="G130" s="295"/>
      <c r="H130" s="295"/>
      <c r="I130" s="296">
        <v>2019</v>
      </c>
    </row>
    <row r="131" spans="1:10" x14ac:dyDescent="0.25">
      <c r="C131" s="302" t="s">
        <v>277</v>
      </c>
      <c r="D131" s="302" t="s">
        <v>261</v>
      </c>
      <c r="I131" s="296">
        <v>2020</v>
      </c>
    </row>
    <row r="132" spans="1:10" x14ac:dyDescent="0.25">
      <c r="C132" s="302" t="s">
        <v>278</v>
      </c>
      <c r="D132" s="302" t="s">
        <v>279</v>
      </c>
    </row>
    <row r="133" spans="1:10" x14ac:dyDescent="0.25">
      <c r="C133" s="302" t="s">
        <v>280</v>
      </c>
      <c r="D133" s="302" t="s">
        <v>281</v>
      </c>
    </row>
    <row r="134" spans="1:10" x14ac:dyDescent="0.25">
      <c r="C134" s="302" t="s">
        <v>284</v>
      </c>
      <c r="D134" s="302" t="s">
        <v>282</v>
      </c>
    </row>
    <row r="135" spans="1:10" x14ac:dyDescent="0.25">
      <c r="C135" s="302" t="s">
        <v>5</v>
      </c>
      <c r="D135" s="302" t="s">
        <v>283</v>
      </c>
    </row>
    <row r="137" spans="1:10" x14ac:dyDescent="0.25">
      <c r="A137" s="302"/>
      <c r="B137" s="302"/>
      <c r="C137" s="302"/>
      <c r="D137" s="302"/>
      <c r="E137" s="302"/>
      <c r="F137" s="302"/>
      <c r="G137" s="302"/>
      <c r="H137" s="302"/>
      <c r="I137" s="302"/>
      <c r="J137" s="302"/>
    </row>
    <row r="138" spans="1:10" ht="15.75" x14ac:dyDescent="0.25">
      <c r="A138" s="1158" t="s">
        <v>197</v>
      </c>
      <c r="B138" s="294"/>
      <c r="C138" s="294"/>
      <c r="D138" s="294"/>
      <c r="E138" s="294"/>
      <c r="F138" s="294"/>
      <c r="G138" s="294"/>
      <c r="H138" s="294"/>
      <c r="I138" s="294"/>
      <c r="J138" s="294"/>
    </row>
    <row r="140" spans="1:10" x14ac:dyDescent="0.25">
      <c r="I140" s="302">
        <v>2011</v>
      </c>
    </row>
    <row r="141" spans="1:10" x14ac:dyDescent="0.25">
      <c r="I141" s="302">
        <v>2012</v>
      </c>
    </row>
    <row r="142" spans="1:10" x14ac:dyDescent="0.25">
      <c r="I142" s="296">
        <v>2013</v>
      </c>
    </row>
    <row r="143" spans="1:10" x14ac:dyDescent="0.25">
      <c r="I143" s="302">
        <v>2014</v>
      </c>
    </row>
    <row r="144" spans="1:10" x14ac:dyDescent="0.25">
      <c r="I144" s="302">
        <v>2015</v>
      </c>
    </row>
    <row r="145" spans="1:10" x14ac:dyDescent="0.25">
      <c r="I145" s="296">
        <v>2016</v>
      </c>
    </row>
    <row r="146" spans="1:10" x14ac:dyDescent="0.25">
      <c r="C146" s="302"/>
      <c r="I146" s="302">
        <v>2017</v>
      </c>
    </row>
    <row r="147" spans="1:10" x14ac:dyDescent="0.25">
      <c r="I147" s="302">
        <v>2018</v>
      </c>
    </row>
    <row r="148" spans="1:10" x14ac:dyDescent="0.25">
      <c r="I148" s="296">
        <v>2019</v>
      </c>
    </row>
    <row r="159" spans="1:10" ht="15.75" x14ac:dyDescent="0.25">
      <c r="A159" s="1158" t="s">
        <v>566</v>
      </c>
      <c r="B159" s="294"/>
      <c r="C159" s="294"/>
      <c r="D159" s="294"/>
      <c r="E159" s="294"/>
      <c r="F159" s="294"/>
      <c r="G159" s="294"/>
      <c r="H159" s="294"/>
      <c r="I159" s="294"/>
      <c r="J159" s="294"/>
    </row>
    <row r="163" spans="2:2" x14ac:dyDescent="0.25">
      <c r="B163" s="302"/>
    </row>
    <row r="239" spans="1:10" ht="15.75" x14ac:dyDescent="0.25">
      <c r="A239" s="1158" t="s">
        <v>837</v>
      </c>
      <c r="B239" s="294"/>
      <c r="C239" s="294"/>
      <c r="D239" s="294"/>
      <c r="E239" s="294"/>
      <c r="F239" s="294"/>
      <c r="G239" s="294"/>
      <c r="H239" s="294"/>
      <c r="I239" s="294"/>
      <c r="J239" s="294"/>
    </row>
    <row r="241" spans="1:14" x14ac:dyDescent="0.25">
      <c r="A241" s="189"/>
      <c r="B241" s="1135" t="s">
        <v>15</v>
      </c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</row>
    <row r="242" spans="1:14" x14ac:dyDescent="0.25">
      <c r="A242" s="189"/>
      <c r="B242" s="16" t="s">
        <v>20</v>
      </c>
      <c r="C242" s="1104" t="s">
        <v>13</v>
      </c>
      <c r="D242" s="29"/>
      <c r="E242" s="29"/>
      <c r="F242" s="29"/>
      <c r="G242" s="16" t="s">
        <v>46</v>
      </c>
      <c r="H242" s="29"/>
      <c r="I242" s="29"/>
      <c r="J242" s="29"/>
      <c r="K242" s="29"/>
      <c r="L242" s="29"/>
      <c r="M242" s="29"/>
      <c r="N242" s="29"/>
    </row>
    <row r="243" spans="1:14" x14ac:dyDescent="0.25">
      <c r="A243" s="1105" t="s">
        <v>14</v>
      </c>
      <c r="B243" s="1104" t="s">
        <v>19</v>
      </c>
      <c r="C243" s="1104" t="s">
        <v>16</v>
      </c>
      <c r="D243" s="1106" t="s">
        <v>17</v>
      </c>
      <c r="E243" s="1104" t="s">
        <v>18</v>
      </c>
      <c r="F243" s="29"/>
      <c r="G243" s="29"/>
      <c r="H243" s="1104" t="s">
        <v>19</v>
      </c>
      <c r="I243" s="1104" t="s">
        <v>16</v>
      </c>
      <c r="J243" s="1106" t="s">
        <v>17</v>
      </c>
      <c r="K243" s="1104" t="s">
        <v>18</v>
      </c>
      <c r="L243" s="29"/>
      <c r="M243" s="29"/>
      <c r="N243" s="29"/>
    </row>
    <row r="244" spans="1:14" x14ac:dyDescent="0.25">
      <c r="A244" s="189"/>
      <c r="B244" s="1104">
        <v>12000</v>
      </c>
      <c r="C244" s="29">
        <v>1.9E-3</v>
      </c>
      <c r="D244" s="29">
        <v>2.8999999999999998E-3</v>
      </c>
      <c r="E244" s="29">
        <v>3.8E-3</v>
      </c>
      <c r="F244" s="29"/>
      <c r="G244" s="1104" t="s">
        <v>14</v>
      </c>
      <c r="H244" s="1104">
        <v>12000</v>
      </c>
      <c r="I244" s="29">
        <v>1.04E-2</v>
      </c>
      <c r="J244" s="29">
        <v>1.55E-2</v>
      </c>
      <c r="K244" s="29">
        <v>2.07E-2</v>
      </c>
      <c r="L244" s="29"/>
      <c r="M244" s="29"/>
      <c r="N244" s="29"/>
    </row>
    <row r="245" spans="1:14" x14ac:dyDescent="0.25">
      <c r="A245" s="189"/>
      <c r="B245" s="1104">
        <v>24000</v>
      </c>
      <c r="C245" s="29">
        <v>1.4E-3</v>
      </c>
      <c r="D245" s="29">
        <v>2E-3</v>
      </c>
      <c r="E245" s="29">
        <v>2.7000000000000001E-3</v>
      </c>
      <c r="F245" s="29"/>
      <c r="G245" s="29"/>
      <c r="H245" s="1104">
        <v>24000</v>
      </c>
      <c r="I245" s="29">
        <v>7.3000000000000001E-3</v>
      </c>
      <c r="J245" s="29">
        <v>1.09E-2</v>
      </c>
      <c r="K245" s="29">
        <v>1.4500000000000001E-2</v>
      </c>
      <c r="L245" s="29"/>
      <c r="M245" s="29"/>
      <c r="N245" s="29"/>
    </row>
    <row r="246" spans="1:14" x14ac:dyDescent="0.25">
      <c r="A246" s="189"/>
      <c r="B246" s="1104">
        <v>30000</v>
      </c>
      <c r="C246" s="29">
        <v>1E-3</v>
      </c>
      <c r="D246" s="29">
        <v>1.4E-3</v>
      </c>
      <c r="E246" s="29">
        <v>1.9E-3</v>
      </c>
      <c r="F246" s="29"/>
      <c r="G246" s="29"/>
      <c r="H246" s="1104">
        <v>30000</v>
      </c>
      <c r="I246" s="29">
        <v>5.1999999999999998E-3</v>
      </c>
      <c r="J246" s="29">
        <v>7.7999999999999996E-3</v>
      </c>
      <c r="K246" s="29">
        <v>1.04E-2</v>
      </c>
      <c r="L246" s="29"/>
      <c r="M246" s="29"/>
      <c r="N246" s="29"/>
    </row>
    <row r="247" spans="1:14" x14ac:dyDescent="0.25">
      <c r="A247" s="189"/>
      <c r="B247" s="1104"/>
      <c r="C247" s="29"/>
      <c r="D247" s="29"/>
      <c r="E247" s="29"/>
      <c r="F247" s="29"/>
      <c r="G247" s="29"/>
      <c r="H247" s="1104"/>
      <c r="I247" s="29"/>
      <c r="J247" s="29"/>
      <c r="K247" s="29"/>
      <c r="L247" s="29"/>
      <c r="M247" s="29"/>
      <c r="N247" s="29"/>
    </row>
    <row r="248" spans="1:14" x14ac:dyDescent="0.25">
      <c r="A248" s="18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</row>
    <row r="249" spans="1:14" x14ac:dyDescent="0.25">
      <c r="A249" s="189"/>
      <c r="B249" s="62" t="s">
        <v>459</v>
      </c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</row>
    <row r="250" spans="1:14" x14ac:dyDescent="0.25">
      <c r="A250" s="189"/>
      <c r="B250" s="29" t="s">
        <v>460</v>
      </c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</row>
    <row r="251" spans="1:14" x14ac:dyDescent="0.25">
      <c r="A251" s="189"/>
      <c r="B251" s="29"/>
      <c r="C251" s="29" t="s">
        <v>461</v>
      </c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</row>
    <row r="252" spans="1:14" x14ac:dyDescent="0.25">
      <c r="A252" s="189"/>
      <c r="B252" s="29" t="s">
        <v>462</v>
      </c>
      <c r="C252" s="29">
        <v>5.0000000000000001E-4</v>
      </c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</row>
    <row r="253" spans="1:14" x14ac:dyDescent="0.25">
      <c r="A253" s="189"/>
      <c r="B253" s="29" t="s">
        <v>463</v>
      </c>
      <c r="C253" s="29">
        <v>1E-3</v>
      </c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</row>
    <row r="254" spans="1:14" x14ac:dyDescent="0.25">
      <c r="A254" s="189"/>
      <c r="B254" s="29" t="s">
        <v>464</v>
      </c>
      <c r="C254" s="29">
        <v>1.5E-3</v>
      </c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</row>
    <row r="255" spans="1:14" x14ac:dyDescent="0.25">
      <c r="A255" s="18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</row>
    <row r="256" spans="1:14" x14ac:dyDescent="0.25">
      <c r="A256" s="189"/>
      <c r="B256" s="1107" t="s">
        <v>465</v>
      </c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</row>
    <row r="257" spans="1:14" x14ac:dyDescent="0.25">
      <c r="A257" s="189"/>
      <c r="B257" s="1107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</row>
    <row r="258" spans="1:14" x14ac:dyDescent="0.25">
      <c r="A258" s="189"/>
      <c r="B258" s="29" t="s">
        <v>44</v>
      </c>
      <c r="C258" s="1104" t="s">
        <v>33</v>
      </c>
      <c r="D258" s="1104" t="s">
        <v>21</v>
      </c>
      <c r="E258" s="1104"/>
      <c r="F258" s="1108" t="s">
        <v>36</v>
      </c>
      <c r="G258" s="29"/>
      <c r="H258" s="29"/>
      <c r="I258" s="29"/>
      <c r="J258" s="29"/>
      <c r="K258" s="29"/>
      <c r="L258" s="29"/>
      <c r="M258" s="29"/>
      <c r="N258" s="29"/>
    </row>
    <row r="259" spans="1:14" x14ac:dyDescent="0.25">
      <c r="A259" s="189"/>
      <c r="B259" s="29"/>
      <c r="C259" s="1104"/>
      <c r="D259" s="1104"/>
      <c r="E259" s="1104"/>
      <c r="F259" s="1108"/>
      <c r="G259" s="29"/>
      <c r="H259" s="29"/>
      <c r="I259" s="29"/>
      <c r="J259" s="29"/>
      <c r="K259" s="29"/>
      <c r="L259" s="29"/>
      <c r="M259" s="29"/>
      <c r="N259" s="29"/>
    </row>
    <row r="260" spans="1:14" x14ac:dyDescent="0.25">
      <c r="A260" s="189"/>
      <c r="B260" s="16" t="s">
        <v>28</v>
      </c>
      <c r="C260" s="1109">
        <v>0.02</v>
      </c>
      <c r="D260" s="1109">
        <v>0.04</v>
      </c>
      <c r="E260" s="1110"/>
      <c r="F260" s="1111" t="s">
        <v>37</v>
      </c>
      <c r="G260" s="29"/>
      <c r="H260" s="1112"/>
      <c r="I260" s="1112"/>
      <c r="J260" s="1112"/>
      <c r="K260" s="1113"/>
      <c r="L260" s="1112"/>
      <c r="M260" s="29"/>
      <c r="N260" s="29"/>
    </row>
    <row r="261" spans="1:14" x14ac:dyDescent="0.25">
      <c r="A261" s="189"/>
      <c r="B261" s="16" t="s">
        <v>29</v>
      </c>
      <c r="C261" s="1109">
        <v>0.02</v>
      </c>
      <c r="D261" s="1109">
        <v>0.04</v>
      </c>
      <c r="E261" s="1110"/>
      <c r="F261" s="29"/>
      <c r="G261" s="31">
        <v>2005</v>
      </c>
      <c r="H261" s="31">
        <v>2035</v>
      </c>
      <c r="I261" s="31" t="s">
        <v>38</v>
      </c>
      <c r="J261" s="31">
        <v>2010</v>
      </c>
      <c r="K261" s="31">
        <v>2020</v>
      </c>
      <c r="L261" s="31">
        <v>2030</v>
      </c>
      <c r="M261" s="29"/>
      <c r="N261" s="29"/>
    </row>
    <row r="262" spans="1:14" x14ac:dyDescent="0.25">
      <c r="A262" s="189"/>
      <c r="B262" s="16" t="s">
        <v>30</v>
      </c>
      <c r="C262" s="1114">
        <v>1.5879637763332323E-2</v>
      </c>
      <c r="D262" s="1114">
        <v>3.1759275526664646E-2</v>
      </c>
      <c r="E262" s="29"/>
      <c r="F262" s="29"/>
      <c r="G262" s="31"/>
      <c r="H262" s="31"/>
      <c r="I262" s="31"/>
      <c r="J262" s="31"/>
      <c r="K262" s="31"/>
      <c r="L262" s="31"/>
      <c r="M262" s="29"/>
      <c r="N262" s="29"/>
    </row>
    <row r="263" spans="1:14" x14ac:dyDescent="0.25">
      <c r="A263" s="189"/>
      <c r="B263" s="16" t="s">
        <v>362</v>
      </c>
      <c r="C263" s="1114">
        <v>1.4021549049472559E-2</v>
      </c>
      <c r="D263" s="1114">
        <v>2.8043098098945118E-2</v>
      </c>
      <c r="E263" s="29"/>
      <c r="F263" s="16" t="s">
        <v>39</v>
      </c>
      <c r="G263" s="58">
        <v>11422</v>
      </c>
      <c r="H263" s="58">
        <v>13798</v>
      </c>
      <c r="I263" s="58">
        <v>16191</v>
      </c>
      <c r="J263" s="58">
        <v>11818</v>
      </c>
      <c r="K263" s="58">
        <v>12610</v>
      </c>
      <c r="L263" s="58">
        <v>13402</v>
      </c>
      <c r="M263" s="29"/>
      <c r="N263" s="29"/>
    </row>
    <row r="264" spans="1:14" x14ac:dyDescent="0.25">
      <c r="A264" s="189"/>
      <c r="B264" s="16"/>
      <c r="C264" s="1114"/>
      <c r="D264" s="1109"/>
      <c r="E264" s="29"/>
      <c r="F264" s="16" t="s">
        <v>40</v>
      </c>
      <c r="G264" s="58">
        <v>10083</v>
      </c>
      <c r="H264" s="58">
        <v>12196</v>
      </c>
      <c r="I264" s="58">
        <v>14359</v>
      </c>
      <c r="J264" s="58">
        <v>10435.166666666666</v>
      </c>
      <c r="K264" s="58">
        <v>11139.5</v>
      </c>
      <c r="L264" s="58">
        <v>11843.833333333334</v>
      </c>
      <c r="M264" s="29"/>
      <c r="N264" s="29"/>
    </row>
    <row r="265" spans="1:14" x14ac:dyDescent="0.25">
      <c r="A265" s="189"/>
      <c r="B265" s="29"/>
      <c r="C265" s="29"/>
      <c r="D265" s="29"/>
      <c r="E265" s="29"/>
      <c r="F265" s="16"/>
      <c r="G265" s="58"/>
      <c r="H265" s="58"/>
      <c r="I265" s="58"/>
      <c r="J265" s="58"/>
      <c r="K265" s="58"/>
      <c r="L265" s="58"/>
      <c r="M265" s="29"/>
      <c r="N265" s="29"/>
    </row>
    <row r="266" spans="1:14" x14ac:dyDescent="0.25">
      <c r="A266" s="189"/>
      <c r="B266" s="29"/>
      <c r="C266" s="29"/>
      <c r="D266" s="29"/>
      <c r="E266" s="29"/>
      <c r="F266" s="16" t="s">
        <v>41</v>
      </c>
      <c r="G266" s="58">
        <v>9345</v>
      </c>
      <c r="H266" s="58">
        <v>11345</v>
      </c>
      <c r="I266" s="58">
        <v>13406</v>
      </c>
      <c r="J266" s="58">
        <v>9678.3333333333339</v>
      </c>
      <c r="K266" s="58">
        <v>10345</v>
      </c>
      <c r="L266" s="58">
        <v>11011.666666666666</v>
      </c>
      <c r="M266" s="29"/>
      <c r="N266" s="29"/>
    </row>
    <row r="267" spans="1:14" x14ac:dyDescent="0.25">
      <c r="A267" s="189"/>
      <c r="B267" s="29"/>
      <c r="C267" s="29"/>
      <c r="D267" s="29"/>
      <c r="E267" s="29"/>
      <c r="F267" s="16" t="s">
        <v>42</v>
      </c>
      <c r="G267" s="58">
        <v>7986</v>
      </c>
      <c r="H267" s="58">
        <v>9782</v>
      </c>
      <c r="I267" s="58">
        <v>11651</v>
      </c>
      <c r="J267" s="58">
        <v>8285.3333333333339</v>
      </c>
      <c r="K267" s="58">
        <v>8884</v>
      </c>
      <c r="L267" s="58">
        <v>9482.6666666666661</v>
      </c>
      <c r="M267" s="29"/>
      <c r="N267" s="29"/>
    </row>
    <row r="268" spans="1:14" x14ac:dyDescent="0.25">
      <c r="A268" s="189"/>
      <c r="B268" s="29"/>
      <c r="C268" s="29"/>
      <c r="D268" s="29"/>
      <c r="E268" s="29"/>
      <c r="F268" s="16" t="s">
        <v>43</v>
      </c>
      <c r="G268" s="58">
        <v>4437</v>
      </c>
      <c r="H268" s="58">
        <v>5651</v>
      </c>
      <c r="I268" s="58">
        <v>5940</v>
      </c>
      <c r="J268" s="58">
        <v>4639.333333333333</v>
      </c>
      <c r="K268" s="58">
        <v>5044</v>
      </c>
      <c r="L268" s="58">
        <v>5448.666666666667</v>
      </c>
      <c r="M268" s="29"/>
      <c r="N268" s="29"/>
    </row>
    <row r="269" spans="1:14" x14ac:dyDescent="0.25">
      <c r="A269" s="189"/>
      <c r="B269" s="29"/>
      <c r="C269" s="29"/>
      <c r="D269" s="29"/>
      <c r="E269" s="29"/>
      <c r="F269" s="16"/>
      <c r="G269" s="58"/>
      <c r="H269" s="58"/>
      <c r="I269" s="58"/>
      <c r="J269" s="58"/>
      <c r="K269" s="58"/>
      <c r="L269" s="58"/>
      <c r="M269" s="29"/>
      <c r="N269" s="29"/>
    </row>
    <row r="284" spans="1:14" s="1001" customFormat="1" x14ac:dyDescent="0.25"/>
    <row r="285" spans="1:14" s="1001" customFormat="1" ht="15.75" x14ac:dyDescent="0.25">
      <c r="A285" s="1158" t="s">
        <v>868</v>
      </c>
      <c r="B285" s="294"/>
      <c r="C285" s="294"/>
      <c r="D285" s="294"/>
      <c r="E285" s="294"/>
      <c r="F285" s="294"/>
      <c r="G285" s="294"/>
      <c r="H285" s="294"/>
      <c r="I285" s="294"/>
      <c r="J285" s="294"/>
    </row>
    <row r="286" spans="1:14" s="1001" customFormat="1" x14ac:dyDescent="0.25"/>
    <row r="287" spans="1:14" s="1001" customFormat="1" x14ac:dyDescent="0.25">
      <c r="A287" s="189"/>
      <c r="B287" s="1135" t="s">
        <v>15</v>
      </c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</row>
    <row r="288" spans="1:14" s="1001" customFormat="1" x14ac:dyDescent="0.25">
      <c r="A288" s="189"/>
      <c r="B288" s="1136" t="s">
        <v>20</v>
      </c>
      <c r="C288" s="1105" t="s">
        <v>13</v>
      </c>
      <c r="D288" s="189"/>
      <c r="E288" s="189"/>
      <c r="F288" s="189"/>
      <c r="G288" s="1136" t="s">
        <v>46</v>
      </c>
      <c r="H288" s="29"/>
      <c r="I288" s="29"/>
      <c r="J288" s="29"/>
      <c r="K288" s="29"/>
      <c r="L288" s="29"/>
      <c r="M288" s="29"/>
      <c r="N288" s="189"/>
    </row>
    <row r="289" spans="1:14" s="1001" customFormat="1" x14ac:dyDescent="0.25">
      <c r="A289" s="189"/>
      <c r="B289" s="1105" t="s">
        <v>19</v>
      </c>
      <c r="C289" s="1105" t="s">
        <v>16</v>
      </c>
      <c r="D289" s="1137" t="s">
        <v>17</v>
      </c>
      <c r="E289" s="1105" t="s">
        <v>18</v>
      </c>
      <c r="F289" s="189"/>
      <c r="G289" s="189"/>
      <c r="H289" s="1104" t="s">
        <v>19</v>
      </c>
      <c r="I289" s="1104" t="s">
        <v>16</v>
      </c>
      <c r="J289" s="1106" t="s">
        <v>17</v>
      </c>
      <c r="K289" s="1104" t="s">
        <v>18</v>
      </c>
      <c r="L289" s="29"/>
      <c r="M289" s="29"/>
      <c r="N289" s="189"/>
    </row>
    <row r="290" spans="1:14" s="1001" customFormat="1" x14ac:dyDescent="0.25">
      <c r="A290" s="1105" t="s">
        <v>14</v>
      </c>
      <c r="B290" s="1105">
        <v>12000</v>
      </c>
      <c r="C290" s="29">
        <v>1.9E-3</v>
      </c>
      <c r="D290" s="29">
        <v>2.8999999999999998E-3</v>
      </c>
      <c r="E290" s="29">
        <v>3.8E-3</v>
      </c>
      <c r="F290" s="189"/>
      <c r="G290" s="1105" t="s">
        <v>14</v>
      </c>
      <c r="H290" s="1104">
        <v>12000</v>
      </c>
      <c r="I290" s="29">
        <v>1.04E-2</v>
      </c>
      <c r="J290" s="29">
        <v>1.55E-2</v>
      </c>
      <c r="K290" s="29">
        <v>2.07E-2</v>
      </c>
      <c r="L290" s="29"/>
      <c r="M290" s="29"/>
      <c r="N290" s="189"/>
    </row>
    <row r="291" spans="1:14" s="1001" customFormat="1" x14ac:dyDescent="0.25">
      <c r="A291" s="189"/>
      <c r="B291" s="1105">
        <v>24000</v>
      </c>
      <c r="C291" s="29">
        <v>1.4E-3</v>
      </c>
      <c r="D291" s="29">
        <v>2E-3</v>
      </c>
      <c r="E291" s="29">
        <v>2.7000000000000001E-3</v>
      </c>
      <c r="F291" s="189"/>
      <c r="G291" s="189"/>
      <c r="H291" s="1104">
        <v>24000</v>
      </c>
      <c r="I291" s="29">
        <v>7.3000000000000001E-3</v>
      </c>
      <c r="J291" s="29">
        <v>1.09E-2</v>
      </c>
      <c r="K291" s="29">
        <v>1.4500000000000001E-2</v>
      </c>
      <c r="L291" s="29"/>
      <c r="M291" s="29"/>
      <c r="N291" s="189"/>
    </row>
    <row r="292" spans="1:14" s="1001" customFormat="1" x14ac:dyDescent="0.25">
      <c r="A292" s="189"/>
      <c r="B292" s="1105">
        <v>30000</v>
      </c>
      <c r="C292" s="29">
        <v>1E-3</v>
      </c>
      <c r="D292" s="29">
        <v>1.4E-3</v>
      </c>
      <c r="E292" s="29">
        <v>1.9E-3</v>
      </c>
      <c r="F292" s="189"/>
      <c r="G292" s="189"/>
      <c r="H292" s="1104">
        <v>30000</v>
      </c>
      <c r="I292" s="29">
        <v>5.1999999999999998E-3</v>
      </c>
      <c r="J292" s="29">
        <v>7.7999999999999996E-3</v>
      </c>
      <c r="K292" s="29">
        <v>1.04E-2</v>
      </c>
      <c r="L292" s="29"/>
      <c r="M292" s="29"/>
      <c r="N292" s="189"/>
    </row>
    <row r="293" spans="1:14" s="1001" customFormat="1" x14ac:dyDescent="0.25">
      <c r="A293" s="189"/>
      <c r="B293" s="1105"/>
      <c r="C293" s="29"/>
      <c r="D293" s="29"/>
      <c r="E293" s="189"/>
      <c r="F293" s="189"/>
      <c r="G293" s="189"/>
      <c r="H293" s="1104"/>
      <c r="I293" s="29"/>
      <c r="J293" s="29"/>
      <c r="K293" s="29"/>
      <c r="L293" s="29"/>
      <c r="M293" s="29"/>
      <c r="N293" s="189"/>
    </row>
    <row r="294" spans="1:14" s="1001" customFormat="1" x14ac:dyDescent="0.25">
      <c r="A294" s="189"/>
      <c r="B294" s="189"/>
      <c r="C294" s="189"/>
      <c r="D294" s="189"/>
      <c r="E294" s="189"/>
      <c r="F294" s="189"/>
      <c r="G294" s="189"/>
      <c r="H294" s="29"/>
      <c r="I294" s="29"/>
      <c r="J294" s="29"/>
      <c r="K294" s="29"/>
      <c r="L294" s="29"/>
      <c r="M294" s="29"/>
      <c r="N294" s="189"/>
    </row>
    <row r="295" spans="1:14" s="1001" customFormat="1" x14ac:dyDescent="0.25">
      <c r="A295" s="189"/>
      <c r="B295" s="1135" t="s">
        <v>459</v>
      </c>
      <c r="C295" s="189"/>
      <c r="D295" s="189"/>
      <c r="E295" s="189"/>
      <c r="F295" s="189"/>
      <c r="G295" s="189"/>
      <c r="H295" s="29"/>
      <c r="I295" s="29"/>
      <c r="J295" s="29"/>
      <c r="K295" s="29"/>
      <c r="L295" s="29"/>
      <c r="M295" s="29"/>
      <c r="N295" s="189"/>
    </row>
    <row r="296" spans="1:14" s="1001" customFormat="1" x14ac:dyDescent="0.25">
      <c r="A296" s="189"/>
      <c r="B296" s="189" t="s">
        <v>460</v>
      </c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</row>
    <row r="297" spans="1:14" s="1001" customFormat="1" x14ac:dyDescent="0.25">
      <c r="A297" s="189"/>
      <c r="B297" s="189"/>
      <c r="C297" s="189" t="s">
        <v>461</v>
      </c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</row>
    <row r="298" spans="1:14" s="1001" customFormat="1" x14ac:dyDescent="0.25">
      <c r="A298" s="189"/>
      <c r="B298" s="189" t="s">
        <v>462</v>
      </c>
      <c r="C298" s="29">
        <v>5.0000000000000001E-4</v>
      </c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</row>
    <row r="299" spans="1:14" s="1001" customFormat="1" x14ac:dyDescent="0.25">
      <c r="A299" s="189"/>
      <c r="B299" s="189" t="s">
        <v>463</v>
      </c>
      <c r="C299" s="29">
        <v>1E-3</v>
      </c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</row>
    <row r="300" spans="1:14" s="1001" customFormat="1" x14ac:dyDescent="0.25">
      <c r="A300" s="189"/>
      <c r="B300" s="189" t="s">
        <v>464</v>
      </c>
      <c r="C300" s="29">
        <v>1.5E-3</v>
      </c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</row>
    <row r="301" spans="1:14" s="1001" customFormat="1" x14ac:dyDescent="0.25">
      <c r="A301" s="189"/>
      <c r="B301" s="189"/>
      <c r="C301" s="29"/>
      <c r="D301" s="189"/>
      <c r="E301" s="189"/>
      <c r="F301" s="189"/>
      <c r="G301" s="189"/>
      <c r="H301" s="189"/>
      <c r="I301" s="189"/>
      <c r="J301" s="189"/>
      <c r="K301" s="189"/>
      <c r="L301" s="189"/>
      <c r="M301" s="189"/>
      <c r="N301" s="189"/>
    </row>
    <row r="302" spans="1:14" s="1001" customFormat="1" x14ac:dyDescent="0.25">
      <c r="A302" s="189"/>
      <c r="B302" s="1138" t="s">
        <v>465</v>
      </c>
      <c r="C302" s="189"/>
      <c r="D302" s="189"/>
      <c r="E302" s="189"/>
      <c r="F302" s="189"/>
      <c r="G302" s="189"/>
      <c r="H302" s="189"/>
      <c r="I302" s="189"/>
      <c r="J302" s="189"/>
      <c r="K302" s="189"/>
      <c r="L302" s="189"/>
      <c r="M302" s="189"/>
      <c r="N302" s="189"/>
    </row>
    <row r="303" spans="1:14" s="1001" customFormat="1" x14ac:dyDescent="0.25">
      <c r="A303" s="189"/>
      <c r="B303" s="1138"/>
      <c r="C303" s="189"/>
      <c r="D303" s="189"/>
      <c r="E303" s="189"/>
      <c r="F303" s="189"/>
      <c r="G303" s="189"/>
      <c r="H303" s="189"/>
      <c r="I303" s="189"/>
      <c r="J303" s="189"/>
      <c r="K303" s="189"/>
      <c r="L303" s="189"/>
      <c r="M303" s="189"/>
      <c r="N303" s="189"/>
    </row>
    <row r="304" spans="1:14" s="1001" customFormat="1" x14ac:dyDescent="0.25">
      <c r="A304" s="189"/>
      <c r="B304" s="189" t="s">
        <v>44</v>
      </c>
      <c r="C304" s="1105" t="s">
        <v>33</v>
      </c>
      <c r="D304" s="1105" t="s">
        <v>21</v>
      </c>
      <c r="E304" s="1104"/>
      <c r="F304" s="1108" t="s">
        <v>36</v>
      </c>
      <c r="G304" s="189"/>
      <c r="H304" s="29"/>
      <c r="I304" s="29"/>
      <c r="J304" s="29"/>
      <c r="K304" s="29"/>
      <c r="L304" s="29"/>
      <c r="M304" s="189"/>
      <c r="N304" s="189"/>
    </row>
    <row r="305" spans="1:14" s="1001" customFormat="1" x14ac:dyDescent="0.25">
      <c r="A305" s="189"/>
      <c r="B305" s="189"/>
      <c r="C305" s="1105"/>
      <c r="D305" s="1105"/>
      <c r="E305" s="1104"/>
      <c r="F305" s="1108"/>
      <c r="G305" s="189"/>
      <c r="H305" s="29"/>
      <c r="I305" s="29"/>
      <c r="J305" s="29"/>
      <c r="K305" s="29"/>
      <c r="L305" s="29"/>
      <c r="M305" s="189"/>
      <c r="N305" s="189"/>
    </row>
    <row r="306" spans="1:14" s="1001" customFormat="1" x14ac:dyDescent="0.25">
      <c r="A306" s="189"/>
      <c r="B306" s="1136" t="s">
        <v>28</v>
      </c>
      <c r="C306" s="1139">
        <v>0.02</v>
      </c>
      <c r="D306" s="1139">
        <v>0.04</v>
      </c>
      <c r="E306" s="1110"/>
      <c r="F306" s="1111" t="s">
        <v>37</v>
      </c>
      <c r="G306" s="189"/>
      <c r="H306" s="1112"/>
      <c r="I306" s="1112"/>
      <c r="J306" s="1112"/>
      <c r="K306" s="1113"/>
      <c r="L306" s="1112"/>
      <c r="M306" s="189"/>
      <c r="N306" s="189"/>
    </row>
    <row r="307" spans="1:14" s="1001" customFormat="1" x14ac:dyDescent="0.25">
      <c r="A307" s="189"/>
      <c r="B307" s="1136" t="s">
        <v>29</v>
      </c>
      <c r="C307" s="1139">
        <v>0.02</v>
      </c>
      <c r="D307" s="1139">
        <v>0.04</v>
      </c>
      <c r="E307" s="1110"/>
      <c r="F307" s="29"/>
      <c r="G307" s="31">
        <v>2005</v>
      </c>
      <c r="H307" s="31">
        <v>2035</v>
      </c>
      <c r="I307" s="31" t="s">
        <v>38</v>
      </c>
      <c r="J307" s="31">
        <v>2010</v>
      </c>
      <c r="K307" s="31">
        <v>2020</v>
      </c>
      <c r="L307" s="31">
        <v>2030</v>
      </c>
      <c r="M307" s="189"/>
      <c r="N307" s="189"/>
    </row>
    <row r="308" spans="1:14" s="1001" customFormat="1" x14ac:dyDescent="0.25">
      <c r="A308" s="189"/>
      <c r="B308" s="1136" t="s">
        <v>30</v>
      </c>
      <c r="C308" s="1114">
        <v>1.5879637763332323E-2</v>
      </c>
      <c r="D308" s="1114">
        <v>3.1759275526664646E-2</v>
      </c>
      <c r="E308" s="189"/>
      <c r="F308" s="29"/>
      <c r="G308" s="31"/>
      <c r="H308" s="31"/>
      <c r="I308" s="31"/>
      <c r="J308" s="31"/>
      <c r="K308" s="31"/>
      <c r="L308" s="31"/>
      <c r="M308" s="189"/>
      <c r="N308" s="189"/>
    </row>
    <row r="309" spans="1:14" s="1001" customFormat="1" x14ac:dyDescent="0.25">
      <c r="A309" s="189"/>
      <c r="B309" s="1136" t="s">
        <v>362</v>
      </c>
      <c r="C309" s="1114">
        <v>1.4021549049472559E-2</v>
      </c>
      <c r="D309" s="1114">
        <v>2.8043098098945118E-2</v>
      </c>
      <c r="E309" s="189"/>
      <c r="F309" s="16" t="s">
        <v>39</v>
      </c>
      <c r="G309" s="58">
        <v>11422</v>
      </c>
      <c r="H309" s="58">
        <v>13798</v>
      </c>
      <c r="I309" s="58">
        <v>16191</v>
      </c>
      <c r="J309" s="58">
        <v>11818</v>
      </c>
      <c r="K309" s="58">
        <v>12610</v>
      </c>
      <c r="L309" s="58">
        <v>13402</v>
      </c>
      <c r="M309" s="189"/>
      <c r="N309" s="189"/>
    </row>
    <row r="310" spans="1:14" s="1001" customFormat="1" x14ac:dyDescent="0.25">
      <c r="A310" s="189"/>
      <c r="B310" s="1136"/>
      <c r="C310" s="1114"/>
      <c r="D310" s="1109"/>
      <c r="E310" s="29"/>
      <c r="F310" s="16" t="s">
        <v>40</v>
      </c>
      <c r="G310" s="58">
        <v>10083</v>
      </c>
      <c r="H310" s="58">
        <v>12196</v>
      </c>
      <c r="I310" s="58">
        <v>14359</v>
      </c>
      <c r="J310" s="58">
        <v>10435.166666666666</v>
      </c>
      <c r="K310" s="58">
        <v>11139.5</v>
      </c>
      <c r="L310" s="58">
        <v>11843.833333333334</v>
      </c>
      <c r="M310" s="29"/>
      <c r="N310" s="189"/>
    </row>
    <row r="311" spans="1:14" s="1001" customFormat="1" x14ac:dyDescent="0.25">
      <c r="A311" s="189"/>
      <c r="B311" s="189"/>
      <c r="C311" s="189"/>
      <c r="D311" s="189"/>
      <c r="E311" s="189"/>
      <c r="F311" s="16"/>
      <c r="G311" s="58"/>
      <c r="H311" s="58"/>
      <c r="I311" s="58"/>
      <c r="J311" s="58"/>
      <c r="K311" s="58"/>
      <c r="L311" s="58"/>
      <c r="M311" s="189"/>
      <c r="N311" s="189"/>
    </row>
    <row r="312" spans="1:14" s="1001" customFormat="1" x14ac:dyDescent="0.25">
      <c r="A312" s="189"/>
      <c r="B312" s="189"/>
      <c r="C312" s="189"/>
      <c r="D312" s="189"/>
      <c r="E312" s="189"/>
      <c r="F312" s="16" t="s">
        <v>41</v>
      </c>
      <c r="G312" s="58">
        <v>9345</v>
      </c>
      <c r="H312" s="58">
        <v>11345</v>
      </c>
      <c r="I312" s="58">
        <v>13406</v>
      </c>
      <c r="J312" s="58">
        <v>9678.3333333333339</v>
      </c>
      <c r="K312" s="58">
        <v>10345</v>
      </c>
      <c r="L312" s="58">
        <v>11011.666666666666</v>
      </c>
      <c r="M312" s="189"/>
      <c r="N312" s="189"/>
    </row>
    <row r="313" spans="1:14" s="1001" customFormat="1" x14ac:dyDescent="0.25">
      <c r="A313" s="189"/>
      <c r="B313" s="189"/>
      <c r="C313" s="189"/>
      <c r="D313" s="189"/>
      <c r="E313" s="189"/>
      <c r="F313" s="16" t="s">
        <v>42</v>
      </c>
      <c r="G313" s="58">
        <v>7986</v>
      </c>
      <c r="H313" s="58">
        <v>9782</v>
      </c>
      <c r="I313" s="58">
        <v>11651</v>
      </c>
      <c r="J313" s="58">
        <v>8285.3333333333339</v>
      </c>
      <c r="K313" s="58">
        <v>8884</v>
      </c>
      <c r="L313" s="58">
        <v>9482.6666666666661</v>
      </c>
      <c r="M313" s="189"/>
      <c r="N313" s="189"/>
    </row>
    <row r="314" spans="1:14" s="1001" customFormat="1" x14ac:dyDescent="0.25">
      <c r="A314" s="189"/>
      <c r="B314" s="189"/>
      <c r="C314" s="189"/>
      <c r="D314" s="189"/>
      <c r="E314" s="189"/>
      <c r="F314" s="16" t="s">
        <v>43</v>
      </c>
      <c r="G314" s="58">
        <v>4437</v>
      </c>
      <c r="H314" s="58">
        <v>5651</v>
      </c>
      <c r="I314" s="58">
        <v>5940</v>
      </c>
      <c r="J314" s="58">
        <v>4639.333333333333</v>
      </c>
      <c r="K314" s="58">
        <v>5044</v>
      </c>
      <c r="L314" s="58">
        <v>5448.666666666667</v>
      </c>
      <c r="M314" s="189"/>
      <c r="N314" s="189"/>
    </row>
    <row r="315" spans="1:14" s="1001" customFormat="1" x14ac:dyDescent="0.25"/>
    <row r="316" spans="1:14" s="1001" customFormat="1" ht="15.75" x14ac:dyDescent="0.25">
      <c r="A316" s="1158" t="s">
        <v>410</v>
      </c>
      <c r="B316" s="294"/>
      <c r="C316" s="294"/>
      <c r="D316" s="294"/>
      <c r="E316" s="294"/>
      <c r="F316" s="294"/>
      <c r="G316" s="294"/>
      <c r="H316" s="294"/>
      <c r="I316" s="294"/>
      <c r="J316" s="294"/>
    </row>
    <row r="317" spans="1:14" s="1001" customFormat="1" x14ac:dyDescent="0.25">
      <c r="A317" t="s">
        <v>849</v>
      </c>
    </row>
    <row r="318" spans="1:14" s="1001" customFormat="1" x14ac:dyDescent="0.25">
      <c r="A318" t="s">
        <v>850</v>
      </c>
    </row>
    <row r="319" spans="1:14" s="1001" customFormat="1" x14ac:dyDescent="0.25"/>
    <row r="321" spans="1:10" s="1001" customFormat="1" ht="15.75" x14ac:dyDescent="0.25">
      <c r="A321" s="1158" t="s">
        <v>836</v>
      </c>
      <c r="B321" s="294"/>
      <c r="C321" s="294"/>
      <c r="D321" s="294"/>
      <c r="E321" s="294"/>
      <c r="F321" s="294"/>
      <c r="G321" s="294"/>
      <c r="H321" s="294"/>
      <c r="I321" s="294"/>
      <c r="J321" s="294"/>
    </row>
    <row r="323" spans="1:10" s="1001" customFormat="1" x14ac:dyDescent="0.25">
      <c r="A323" s="87" t="s">
        <v>159</v>
      </c>
      <c r="B323" s="88" t="s">
        <v>160</v>
      </c>
      <c r="C323" s="88" t="s">
        <v>154</v>
      </c>
      <c r="D323" s="88" t="s">
        <v>0</v>
      </c>
      <c r="E323" s="88" t="s">
        <v>70</v>
      </c>
      <c r="F323" s="87"/>
      <c r="G323" s="87"/>
      <c r="H323" s="87"/>
    </row>
    <row r="324" spans="1:10" s="1001" customFormat="1" x14ac:dyDescent="0.25">
      <c r="A324" s="87" t="s">
        <v>161</v>
      </c>
      <c r="B324" s="87">
        <v>-0.08</v>
      </c>
      <c r="C324" s="87">
        <v>0.02</v>
      </c>
      <c r="D324" s="87">
        <v>0.02</v>
      </c>
      <c r="E324" s="87">
        <v>0.02</v>
      </c>
      <c r="F324" s="87"/>
      <c r="G324" s="87"/>
      <c r="H324" s="87"/>
    </row>
    <row r="325" spans="1:10" s="1001" customFormat="1" x14ac:dyDescent="0.25">
      <c r="A325" s="87"/>
      <c r="B325" s="87"/>
      <c r="C325" s="87"/>
      <c r="D325" s="87"/>
      <c r="E325" s="87"/>
      <c r="F325" s="87"/>
      <c r="G325" s="87"/>
      <c r="H325" s="87"/>
    </row>
    <row r="326" spans="1:10" s="1001" customFormat="1" x14ac:dyDescent="0.25">
      <c r="A326" s="87"/>
      <c r="B326" s="87"/>
      <c r="C326" s="87"/>
      <c r="D326" s="87"/>
      <c r="E326" s="87"/>
      <c r="F326" s="87"/>
      <c r="G326" s="87"/>
      <c r="H326" s="87"/>
    </row>
    <row r="327" spans="1:10" s="1001" customFormat="1" x14ac:dyDescent="0.25">
      <c r="A327" s="87"/>
      <c r="B327" s="87"/>
      <c r="C327" s="87"/>
      <c r="D327" s="87"/>
      <c r="E327" s="87"/>
      <c r="F327" s="87"/>
      <c r="G327" s="87"/>
      <c r="H327" s="87"/>
    </row>
    <row r="328" spans="1:10" s="1001" customFormat="1" ht="15.75" thickBot="1" x14ac:dyDescent="0.3">
      <c r="A328" s="89" t="s">
        <v>162</v>
      </c>
      <c r="B328" s="90" t="s">
        <v>198</v>
      </c>
      <c r="C328" s="87"/>
      <c r="D328" s="87"/>
      <c r="E328" s="87"/>
      <c r="F328" s="87"/>
      <c r="G328" s="87"/>
      <c r="H328" s="87"/>
    </row>
    <row r="329" spans="1:10" s="1001" customFormat="1" ht="27" thickTop="1" thickBot="1" x14ac:dyDescent="0.3">
      <c r="A329" s="91"/>
      <c r="B329" s="92" t="s">
        <v>141</v>
      </c>
      <c r="C329" s="92" t="s">
        <v>142</v>
      </c>
      <c r="D329" s="93" t="s">
        <v>163</v>
      </c>
      <c r="E329" s="87"/>
      <c r="F329" s="87"/>
      <c r="G329" s="87"/>
      <c r="H329" s="87"/>
    </row>
    <row r="330" spans="1:10" s="1001" customFormat="1" ht="16.5" thickTop="1" thickBot="1" x14ac:dyDescent="0.3">
      <c r="A330" s="94" t="s">
        <v>153</v>
      </c>
      <c r="B330" s="95">
        <v>0.85</v>
      </c>
      <c r="C330" s="95">
        <v>0.66</v>
      </c>
      <c r="D330" s="96">
        <v>0.41</v>
      </c>
      <c r="E330" s="87"/>
      <c r="F330" s="87"/>
      <c r="G330" s="87"/>
      <c r="H330" s="87"/>
    </row>
    <row r="331" spans="1:10" s="1001" customFormat="1" ht="15.75" thickBot="1" x14ac:dyDescent="0.3">
      <c r="A331" s="97" t="s">
        <v>0</v>
      </c>
      <c r="B331" s="98">
        <v>7.0000000000000007E-2</v>
      </c>
      <c r="C331" s="98">
        <v>0.16</v>
      </c>
      <c r="D331" s="99">
        <v>0.3</v>
      </c>
      <c r="E331" s="87"/>
      <c r="F331" s="87"/>
      <c r="G331" s="87"/>
      <c r="H331" s="87"/>
    </row>
    <row r="332" spans="1:10" s="1001" customFormat="1" ht="15.75" thickBot="1" x14ac:dyDescent="0.3">
      <c r="A332" s="100" t="s">
        <v>154</v>
      </c>
      <c r="B332" s="101">
        <v>0.08</v>
      </c>
      <c r="C332" s="101">
        <v>0.18</v>
      </c>
      <c r="D332" s="102">
        <v>0.28999999999999998</v>
      </c>
      <c r="E332" s="87"/>
      <c r="F332" s="87"/>
      <c r="G332" s="87"/>
      <c r="H332" s="87"/>
    </row>
    <row r="333" spans="1:10" s="1001" customFormat="1" ht="15.75" thickTop="1" x14ac:dyDescent="0.25">
      <c r="A333" s="87"/>
      <c r="B333" s="87"/>
      <c r="C333" s="87"/>
      <c r="D333" s="87"/>
      <c r="E333" s="87"/>
      <c r="F333" s="87"/>
      <c r="G333" s="87"/>
      <c r="H333" s="87"/>
    </row>
    <row r="334" spans="1:10" s="1001" customFormat="1" ht="26.25" customHeight="1" x14ac:dyDescent="0.25">
      <c r="A334" s="1306" t="s">
        <v>164</v>
      </c>
      <c r="B334" s="1306"/>
      <c r="C334" s="1306"/>
      <c r="D334" s="1306"/>
      <c r="E334" s="1306"/>
      <c r="F334" s="1306"/>
      <c r="G334" s="1306"/>
      <c r="H334" s="1306"/>
    </row>
    <row r="335" spans="1:10" s="1001" customFormat="1" x14ac:dyDescent="0.25">
      <c r="A335" s="87"/>
      <c r="B335" s="87"/>
      <c r="C335" s="87"/>
      <c r="D335" s="87"/>
      <c r="E335" s="87"/>
      <c r="F335" s="87"/>
      <c r="G335" s="87"/>
      <c r="H335" s="87"/>
    </row>
    <row r="336" spans="1:10" s="1001" customFormat="1" x14ac:dyDescent="0.25">
      <c r="A336" s="87"/>
      <c r="B336" s="87"/>
      <c r="C336" s="87"/>
      <c r="D336" s="87"/>
      <c r="E336" s="87"/>
      <c r="F336" s="87"/>
      <c r="G336" s="87"/>
      <c r="H336" s="87"/>
    </row>
    <row r="337" spans="1:8" s="1001" customFormat="1" ht="15.75" thickBot="1" x14ac:dyDescent="0.3">
      <c r="A337" s="89" t="s">
        <v>162</v>
      </c>
      <c r="B337" s="103" t="s">
        <v>165</v>
      </c>
      <c r="C337" s="87"/>
      <c r="D337" s="87"/>
      <c r="E337" s="87"/>
      <c r="F337" s="87"/>
      <c r="G337" s="87"/>
      <c r="H337" s="87"/>
    </row>
    <row r="338" spans="1:8" s="1001" customFormat="1" ht="16.5" thickTop="1" thickBot="1" x14ac:dyDescent="0.3">
      <c r="A338" s="104" t="s">
        <v>166</v>
      </c>
      <c r="B338" s="105" t="s">
        <v>167</v>
      </c>
      <c r="C338" s="105" t="s">
        <v>168</v>
      </c>
      <c r="D338" s="106" t="s">
        <v>169</v>
      </c>
      <c r="E338" s="87"/>
      <c r="F338" s="87"/>
      <c r="G338" s="87"/>
      <c r="H338" s="87"/>
    </row>
    <row r="339" spans="1:8" s="1001" customFormat="1" ht="27" thickTop="1" thickBot="1" x14ac:dyDescent="0.3">
      <c r="A339" s="94" t="s">
        <v>170</v>
      </c>
      <c r="B339" s="107">
        <v>2E-3</v>
      </c>
      <c r="C339" s="107">
        <v>6.0000000000000001E-3</v>
      </c>
      <c r="D339" s="108">
        <v>1.9E-2</v>
      </c>
      <c r="E339" s="87"/>
      <c r="F339" s="87"/>
      <c r="G339" s="87"/>
      <c r="H339" s="87"/>
    </row>
    <row r="340" spans="1:8" s="1001" customFormat="1" ht="15.75" thickBot="1" x14ac:dyDescent="0.3">
      <c r="A340" s="94" t="s">
        <v>171</v>
      </c>
      <c r="B340" s="107">
        <v>4.2000000000000003E-2</v>
      </c>
      <c r="C340" s="107">
        <v>9.9000000000000005E-2</v>
      </c>
      <c r="D340" s="108">
        <v>0.23200000000000001</v>
      </c>
      <c r="E340" s="87"/>
      <c r="F340" s="87"/>
      <c r="G340" s="87"/>
      <c r="H340" s="87"/>
    </row>
    <row r="341" spans="1:8" s="1001" customFormat="1" ht="15.75" thickBot="1" x14ac:dyDescent="0.3">
      <c r="A341" s="94" t="s">
        <v>172</v>
      </c>
      <c r="B341" s="107">
        <v>2.4E-2</v>
      </c>
      <c r="C341" s="107">
        <v>5.8000000000000003E-2</v>
      </c>
      <c r="D341" s="108">
        <v>0.16500000000000001</v>
      </c>
      <c r="E341" s="87"/>
      <c r="F341" s="87"/>
      <c r="G341" s="87"/>
      <c r="H341" s="87"/>
    </row>
    <row r="342" spans="1:8" s="1001" customFormat="1" ht="15.75" thickBot="1" x14ac:dyDescent="0.3">
      <c r="A342" s="94" t="s">
        <v>173</v>
      </c>
      <c r="B342" s="107">
        <v>0.109</v>
      </c>
      <c r="C342" s="107">
        <v>0.23499999999999999</v>
      </c>
      <c r="D342" s="108">
        <v>0.497</v>
      </c>
      <c r="E342" s="87"/>
      <c r="F342" s="87"/>
      <c r="G342" s="87"/>
      <c r="H342" s="87"/>
    </row>
    <row r="343" spans="1:8" s="1001" customFormat="1" ht="26.25" thickBot="1" x14ac:dyDescent="0.3">
      <c r="A343" s="94" t="s">
        <v>174</v>
      </c>
      <c r="B343" s="107">
        <v>4.7E-2</v>
      </c>
      <c r="C343" s="107">
        <v>0.109</v>
      </c>
      <c r="D343" s="108">
        <v>0.28299999999999997</v>
      </c>
      <c r="E343" s="87"/>
      <c r="F343" s="87"/>
      <c r="G343" s="87"/>
      <c r="H343" s="87"/>
    </row>
    <row r="344" spans="1:8" s="1001" customFormat="1" ht="26.25" thickBot="1" x14ac:dyDescent="0.3">
      <c r="A344" s="109" t="s">
        <v>175</v>
      </c>
      <c r="B344" s="110">
        <v>0.18099999999999999</v>
      </c>
      <c r="C344" s="110">
        <v>0.35499999999999998</v>
      </c>
      <c r="D344" s="111">
        <v>0.64</v>
      </c>
      <c r="E344" s="87"/>
      <c r="F344" s="87"/>
      <c r="G344" s="87"/>
      <c r="H344" s="87"/>
    </row>
    <row r="345" spans="1:8" s="1001" customFormat="1" ht="15.75" thickTop="1" x14ac:dyDescent="0.25">
      <c r="A345" s="87"/>
      <c r="B345" s="87"/>
      <c r="C345" s="87"/>
      <c r="D345" s="87"/>
      <c r="E345" s="87"/>
      <c r="F345" s="87"/>
      <c r="G345" s="87"/>
      <c r="H345" s="87"/>
    </row>
    <row r="346" spans="1:8" s="1001" customFormat="1" x14ac:dyDescent="0.25">
      <c r="A346" s="112" t="s">
        <v>176</v>
      </c>
      <c r="B346" s="113" t="s">
        <v>177</v>
      </c>
      <c r="C346" s="113" t="s">
        <v>178</v>
      </c>
      <c r="D346" s="113" t="s">
        <v>179</v>
      </c>
      <c r="E346" s="113" t="s">
        <v>180</v>
      </c>
      <c r="F346" s="113" t="s">
        <v>181</v>
      </c>
      <c r="G346" s="113" t="s">
        <v>182</v>
      </c>
      <c r="H346" s="87"/>
    </row>
    <row r="347" spans="1:8" s="1001" customFormat="1" x14ac:dyDescent="0.25">
      <c r="A347" s="114">
        <v>0.5</v>
      </c>
      <c r="B347" s="115">
        <v>0</v>
      </c>
      <c r="C347" s="115">
        <f>TREND(C$348:C$351,$A$348:$A$351,$A347)</f>
        <v>7.3249999999999843E-3</v>
      </c>
      <c r="D347" s="115">
        <v>0</v>
      </c>
      <c r="E347" s="115">
        <f>TREND(E$348:E$351,$A$348:$A$351,$A347)</f>
        <v>4.2750000000000024E-2</v>
      </c>
      <c r="F347" s="115">
        <f>TREND(F$348:F$351,$A$348:$A$351,$A347)</f>
        <v>-2.4999999999998634E-4</v>
      </c>
      <c r="G347" s="115">
        <f>TREND(G$348:G$351,$A$348:$A$351,$A347)</f>
        <v>0.11447500000000004</v>
      </c>
      <c r="H347" s="87"/>
    </row>
    <row r="348" spans="1:8" s="1001" customFormat="1" x14ac:dyDescent="0.25">
      <c r="A348" s="114">
        <v>1</v>
      </c>
      <c r="B348" s="115">
        <v>2E-3</v>
      </c>
      <c r="C348" s="115">
        <v>4.2000000000000003E-2</v>
      </c>
      <c r="D348" s="115">
        <v>2.4E-2</v>
      </c>
      <c r="E348" s="115">
        <v>0.109</v>
      </c>
      <c r="F348" s="115">
        <v>4.7E-2</v>
      </c>
      <c r="G348" s="115">
        <v>0.18099999999999999</v>
      </c>
      <c r="H348" s="87"/>
    </row>
    <row r="349" spans="1:8" s="1001" customFormat="1" x14ac:dyDescent="0.25">
      <c r="A349" s="114">
        <v>2</v>
      </c>
      <c r="B349" s="115">
        <v>6.0000000000000001E-3</v>
      </c>
      <c r="C349" s="115">
        <v>9.9000000000000005E-2</v>
      </c>
      <c r="D349" s="115">
        <v>5.8000000000000003E-2</v>
      </c>
      <c r="E349" s="115">
        <v>0.23499999999999999</v>
      </c>
      <c r="F349" s="115">
        <v>0.109</v>
      </c>
      <c r="G349" s="115">
        <v>0.35499999999999998</v>
      </c>
      <c r="H349" s="87"/>
    </row>
    <row r="350" spans="1:8" s="1001" customFormat="1" x14ac:dyDescent="0.25">
      <c r="A350" s="114">
        <v>3</v>
      </c>
      <c r="B350" s="115">
        <f t="shared" ref="B350:G350" si="0">((B351-B349)/2)+B349</f>
        <v>1.2500000000000001E-2</v>
      </c>
      <c r="C350" s="115">
        <f t="shared" si="0"/>
        <v>0.16550000000000001</v>
      </c>
      <c r="D350" s="115">
        <f t="shared" si="0"/>
        <v>0.11150000000000002</v>
      </c>
      <c r="E350" s="115">
        <f t="shared" si="0"/>
        <v>0.36599999999999999</v>
      </c>
      <c r="F350" s="115">
        <f t="shared" si="0"/>
        <v>0.19600000000000001</v>
      </c>
      <c r="G350" s="115">
        <f t="shared" si="0"/>
        <v>0.4975</v>
      </c>
      <c r="H350" s="87"/>
    </row>
    <row r="351" spans="1:8" s="1001" customFormat="1" x14ac:dyDescent="0.25">
      <c r="A351" s="114">
        <v>4</v>
      </c>
      <c r="B351" s="115">
        <v>1.9E-2</v>
      </c>
      <c r="C351" s="115">
        <v>0.23200000000000001</v>
      </c>
      <c r="D351" s="115">
        <v>0.16500000000000001</v>
      </c>
      <c r="E351" s="115">
        <v>0.497</v>
      </c>
      <c r="F351" s="115">
        <v>0.28299999999999997</v>
      </c>
      <c r="G351" s="115">
        <v>0.64</v>
      </c>
      <c r="H351" s="87"/>
    </row>
    <row r="352" spans="1:8" s="1001" customFormat="1" x14ac:dyDescent="0.25">
      <c r="A352" s="114">
        <v>5</v>
      </c>
      <c r="B352" s="115">
        <f t="shared" ref="B352:G352" si="1">TREND(B$348:B$351,$A$348:$A$351,$A352)</f>
        <v>2.4249999999999997E-2</v>
      </c>
      <c r="C352" s="115">
        <f t="shared" si="1"/>
        <v>0.29375000000000001</v>
      </c>
      <c r="D352" s="115">
        <f t="shared" si="1"/>
        <v>0.20875000000000005</v>
      </c>
      <c r="E352" s="115">
        <f t="shared" si="1"/>
        <v>0.62549999999999994</v>
      </c>
      <c r="F352" s="115">
        <f t="shared" si="1"/>
        <v>0.35749999999999998</v>
      </c>
      <c r="G352" s="115">
        <f t="shared" si="1"/>
        <v>0.79825000000000013</v>
      </c>
      <c r="H352" s="87"/>
    </row>
    <row r="353" spans="1:17" s="1001" customFormat="1" x14ac:dyDescent="0.25">
      <c r="A353" s="114">
        <v>6</v>
      </c>
      <c r="B353" s="115">
        <f t="shared" ref="B353:G357" si="2">B352</f>
        <v>2.4249999999999997E-2</v>
      </c>
      <c r="C353" s="115">
        <f t="shared" si="2"/>
        <v>0.29375000000000001</v>
      </c>
      <c r="D353" s="115">
        <f t="shared" si="2"/>
        <v>0.20875000000000005</v>
      </c>
      <c r="E353" s="115">
        <f t="shared" si="2"/>
        <v>0.62549999999999994</v>
      </c>
      <c r="F353" s="115">
        <f t="shared" si="2"/>
        <v>0.35749999999999998</v>
      </c>
      <c r="G353" s="115">
        <f t="shared" si="2"/>
        <v>0.79825000000000013</v>
      </c>
      <c r="H353" s="87"/>
    </row>
    <row r="354" spans="1:17" s="1001" customFormat="1" x14ac:dyDescent="0.25">
      <c r="A354" s="114">
        <v>7</v>
      </c>
      <c r="B354" s="115">
        <f t="shared" si="2"/>
        <v>2.4249999999999997E-2</v>
      </c>
      <c r="C354" s="115">
        <f t="shared" si="2"/>
        <v>0.29375000000000001</v>
      </c>
      <c r="D354" s="115">
        <f t="shared" si="2"/>
        <v>0.20875000000000005</v>
      </c>
      <c r="E354" s="115">
        <f t="shared" si="2"/>
        <v>0.62549999999999994</v>
      </c>
      <c r="F354" s="115">
        <f t="shared" si="2"/>
        <v>0.35749999999999998</v>
      </c>
      <c r="G354" s="115">
        <f t="shared" si="2"/>
        <v>0.79825000000000013</v>
      </c>
      <c r="H354" s="87"/>
    </row>
    <row r="355" spans="1:17" s="1001" customFormat="1" x14ac:dyDescent="0.25">
      <c r="A355" s="114">
        <v>8</v>
      </c>
      <c r="B355" s="115">
        <f t="shared" si="2"/>
        <v>2.4249999999999997E-2</v>
      </c>
      <c r="C355" s="115">
        <f t="shared" si="2"/>
        <v>0.29375000000000001</v>
      </c>
      <c r="D355" s="115">
        <f t="shared" si="2"/>
        <v>0.20875000000000005</v>
      </c>
      <c r="E355" s="115">
        <f t="shared" si="2"/>
        <v>0.62549999999999994</v>
      </c>
      <c r="F355" s="115">
        <f t="shared" si="2"/>
        <v>0.35749999999999998</v>
      </c>
      <c r="G355" s="115">
        <f t="shared" si="2"/>
        <v>0.79825000000000013</v>
      </c>
      <c r="H355" s="87"/>
    </row>
    <row r="356" spans="1:17" s="1001" customFormat="1" x14ac:dyDescent="0.25">
      <c r="A356" s="114">
        <v>9</v>
      </c>
      <c r="B356" s="115">
        <f t="shared" si="2"/>
        <v>2.4249999999999997E-2</v>
      </c>
      <c r="C356" s="115">
        <f t="shared" si="2"/>
        <v>0.29375000000000001</v>
      </c>
      <c r="D356" s="115">
        <f t="shared" si="2"/>
        <v>0.20875000000000005</v>
      </c>
      <c r="E356" s="115">
        <f t="shared" si="2"/>
        <v>0.62549999999999994</v>
      </c>
      <c r="F356" s="115">
        <f t="shared" si="2"/>
        <v>0.35749999999999998</v>
      </c>
      <c r="G356" s="115">
        <f t="shared" si="2"/>
        <v>0.79825000000000013</v>
      </c>
      <c r="H356" s="87"/>
    </row>
    <row r="357" spans="1:17" s="1001" customFormat="1" x14ac:dyDescent="0.25">
      <c r="A357" s="114">
        <v>10</v>
      </c>
      <c r="B357" s="115">
        <f t="shared" si="2"/>
        <v>2.4249999999999997E-2</v>
      </c>
      <c r="C357" s="115">
        <f t="shared" si="2"/>
        <v>0.29375000000000001</v>
      </c>
      <c r="D357" s="115">
        <f t="shared" si="2"/>
        <v>0.20875000000000005</v>
      </c>
      <c r="E357" s="115">
        <f t="shared" si="2"/>
        <v>0.62549999999999994</v>
      </c>
      <c r="F357" s="115">
        <f t="shared" si="2"/>
        <v>0.35749999999999998</v>
      </c>
      <c r="G357" s="115">
        <f t="shared" si="2"/>
        <v>0.79825000000000013</v>
      </c>
      <c r="H357" s="87"/>
    </row>
    <row r="358" spans="1:17" s="1001" customFormat="1" x14ac:dyDescent="0.25"/>
    <row r="359" spans="1:17" ht="15.75" x14ac:dyDescent="0.25">
      <c r="A359" s="1158" t="s">
        <v>761</v>
      </c>
      <c r="B359" s="294"/>
      <c r="C359" s="294"/>
      <c r="D359" s="294"/>
      <c r="E359" s="294"/>
      <c r="F359" s="294"/>
      <c r="G359" s="294"/>
      <c r="H359" s="294"/>
      <c r="I359" s="294"/>
      <c r="J359" s="294"/>
    </row>
    <row r="360" spans="1:17" s="303" customFormat="1" x14ac:dyDescent="0.25">
      <c r="C360" s="189">
        <v>2011</v>
      </c>
    </row>
    <row r="361" spans="1:17" s="303" customFormat="1" x14ac:dyDescent="0.25">
      <c r="A361" s="189" t="s">
        <v>21</v>
      </c>
      <c r="B361" s="29"/>
      <c r="C361" s="189">
        <v>2012</v>
      </c>
      <c r="D361" s="1307"/>
      <c r="E361" s="1307"/>
      <c r="F361" s="1307"/>
      <c r="G361" s="1307"/>
      <c r="H361" s="1307"/>
      <c r="I361" s="1307"/>
      <c r="J361" s="1307"/>
      <c r="K361" s="29"/>
      <c r="L361" s="29"/>
      <c r="M361" s="29"/>
      <c r="N361" s="29"/>
      <c r="O361" s="189"/>
      <c r="Q361" s="189"/>
    </row>
    <row r="362" spans="1:17" s="303" customFormat="1" x14ac:dyDescent="0.25">
      <c r="A362" s="189" t="s">
        <v>33</v>
      </c>
      <c r="B362" s="29"/>
      <c r="C362" s="189">
        <v>2013</v>
      </c>
      <c r="D362" s="1128"/>
      <c r="E362" s="1128"/>
      <c r="F362" s="1128"/>
      <c r="G362" s="1128"/>
      <c r="H362" s="1128"/>
      <c r="I362" s="1128"/>
      <c r="J362" s="29"/>
      <c r="K362" s="29"/>
      <c r="L362" s="29"/>
      <c r="M362" s="29"/>
      <c r="N362" s="29"/>
      <c r="O362" s="189"/>
      <c r="Q362" s="189"/>
    </row>
    <row r="363" spans="1:17" s="303" customFormat="1" x14ac:dyDescent="0.25">
      <c r="A363" s="189"/>
      <c r="B363" s="1308"/>
      <c r="C363" s="189">
        <v>2014</v>
      </c>
      <c r="D363" s="1129"/>
      <c r="E363" s="1129"/>
      <c r="F363" s="1129"/>
      <c r="G363" s="1128"/>
      <c r="H363" s="1128"/>
      <c r="I363" s="1128"/>
      <c r="J363" s="29"/>
      <c r="K363" s="1128"/>
      <c r="L363" s="29"/>
      <c r="M363" s="29"/>
      <c r="N363" s="29"/>
      <c r="O363" s="189"/>
      <c r="Q363" s="189"/>
    </row>
    <row r="364" spans="1:17" s="303" customFormat="1" x14ac:dyDescent="0.25">
      <c r="A364" s="189"/>
      <c r="B364" s="1308"/>
      <c r="C364" s="189">
        <v>2015</v>
      </c>
      <c r="D364" s="1129"/>
      <c r="E364" s="1129"/>
      <c r="F364" s="1129"/>
      <c r="G364" s="1129"/>
      <c r="H364" s="1128"/>
      <c r="I364" s="1128"/>
      <c r="J364" s="29"/>
      <c r="K364" s="1128"/>
      <c r="L364" s="29"/>
      <c r="M364" s="29"/>
      <c r="N364" s="29"/>
      <c r="O364" s="189"/>
      <c r="Q364" s="189"/>
    </row>
    <row r="365" spans="1:17" s="303" customFormat="1" x14ac:dyDescent="0.25">
      <c r="A365" s="189"/>
      <c r="B365" s="1308"/>
      <c r="C365" s="189">
        <v>2016</v>
      </c>
      <c r="D365" s="1129"/>
      <c r="E365" s="1129"/>
      <c r="F365" s="1129"/>
      <c r="G365" s="1130"/>
      <c r="H365" s="29"/>
      <c r="I365" s="29"/>
      <c r="J365" s="29"/>
      <c r="K365" s="1128"/>
      <c r="L365" s="29"/>
      <c r="M365" s="29"/>
      <c r="N365" s="29"/>
      <c r="O365" s="189"/>
      <c r="Q365" s="189"/>
    </row>
    <row r="366" spans="1:17" s="303" customFormat="1" x14ac:dyDescent="0.25">
      <c r="A366" s="189"/>
      <c r="B366" s="1308"/>
      <c r="C366" s="189">
        <v>2017</v>
      </c>
      <c r="D366" s="1129"/>
      <c r="E366" s="1129"/>
      <c r="F366" s="1129"/>
      <c r="G366" s="1129"/>
      <c r="H366" s="1130"/>
      <c r="I366" s="1130"/>
      <c r="J366" s="29"/>
      <c r="K366" s="1128"/>
      <c r="L366" s="29"/>
      <c r="M366" s="29"/>
      <c r="N366" s="29"/>
      <c r="O366" s="189"/>
      <c r="Q366" s="189"/>
    </row>
    <row r="367" spans="1:17" s="303" customFormat="1" x14ac:dyDescent="0.25">
      <c r="A367" s="189"/>
      <c r="B367" s="1308"/>
      <c r="C367" s="189">
        <v>2018</v>
      </c>
      <c r="D367" s="1129"/>
      <c r="E367" s="1129"/>
      <c r="F367" s="1129"/>
      <c r="G367" s="1129"/>
      <c r="H367" s="1130"/>
      <c r="I367" s="1130"/>
      <c r="J367" s="29"/>
      <c r="K367" s="1128"/>
      <c r="L367" s="29"/>
      <c r="M367" s="29"/>
      <c r="N367" s="29"/>
      <c r="O367" s="189"/>
      <c r="Q367" s="189"/>
    </row>
    <row r="368" spans="1:17" s="303" customFormat="1" x14ac:dyDescent="0.25">
      <c r="A368" s="189" t="s">
        <v>384</v>
      </c>
      <c r="B368" s="29" t="s">
        <v>4</v>
      </c>
      <c r="C368" s="189">
        <v>2019</v>
      </c>
      <c r="D368" s="1129"/>
      <c r="E368" s="1129"/>
      <c r="F368" s="1129"/>
      <c r="G368" s="1129"/>
      <c r="H368" s="1130"/>
      <c r="I368" s="1130"/>
      <c r="J368" s="29"/>
      <c r="K368" s="1128"/>
      <c r="L368" s="29"/>
      <c r="M368" s="29"/>
      <c r="N368" s="29"/>
      <c r="O368" s="189"/>
      <c r="Q368" s="189"/>
    </row>
    <row r="369" spans="1:17" s="303" customFormat="1" x14ac:dyDescent="0.25">
      <c r="A369" s="1131" t="s">
        <v>381</v>
      </c>
      <c r="B369" s="29" t="s">
        <v>5</v>
      </c>
      <c r="C369" s="1129"/>
      <c r="D369" s="1129"/>
      <c r="E369" s="1129"/>
      <c r="F369" s="1129"/>
      <c r="G369" s="1129"/>
      <c r="H369" s="1130"/>
      <c r="I369" s="1130"/>
      <c r="J369" s="189"/>
      <c r="K369" s="1132"/>
      <c r="L369" s="189"/>
      <c r="M369" s="189"/>
      <c r="N369" s="189"/>
      <c r="O369" s="189"/>
      <c r="Q369" s="189"/>
    </row>
    <row r="370" spans="1:17" s="303" customFormat="1" x14ac:dyDescent="0.25">
      <c r="A370" s="1131" t="s">
        <v>382</v>
      </c>
      <c r="B370" s="29" t="s">
        <v>6</v>
      </c>
      <c r="C370" s="1129"/>
      <c r="D370" s="1129"/>
      <c r="E370" s="1129"/>
      <c r="F370" s="1129"/>
      <c r="G370" s="1129"/>
      <c r="H370" s="1130"/>
      <c r="I370" s="1130"/>
      <c r="J370" s="189"/>
      <c r="K370" s="189"/>
      <c r="L370" s="189"/>
      <c r="M370" s="189"/>
      <c r="N370" s="189"/>
      <c r="O370" s="189"/>
      <c r="P370" s="189"/>
      <c r="Q370" s="189"/>
    </row>
    <row r="371" spans="1:17" s="303" customFormat="1" x14ac:dyDescent="0.25">
      <c r="A371" s="189" t="s">
        <v>482</v>
      </c>
      <c r="B371" s="29" t="s">
        <v>7</v>
      </c>
      <c r="C371" s="1129"/>
      <c r="D371" s="1129"/>
      <c r="E371" s="1129"/>
      <c r="F371" s="1129"/>
      <c r="G371" s="1129"/>
      <c r="H371" s="1130"/>
      <c r="I371" s="1130"/>
      <c r="J371" s="189"/>
      <c r="K371" s="189"/>
      <c r="L371" s="189"/>
      <c r="M371" s="189"/>
      <c r="N371" s="189"/>
      <c r="O371" s="189"/>
      <c r="P371" s="189"/>
      <c r="Q371" s="189"/>
    </row>
    <row r="372" spans="1:17" s="303" customFormat="1" x14ac:dyDescent="0.25">
      <c r="A372" s="189" t="s">
        <v>483</v>
      </c>
      <c r="B372" s="29" t="s">
        <v>8</v>
      </c>
      <c r="C372" s="29"/>
      <c r="D372" s="29"/>
      <c r="E372" s="189"/>
      <c r="F372" s="1129"/>
      <c r="G372" s="1129"/>
      <c r="H372" s="1130"/>
      <c r="I372" s="1130"/>
      <c r="J372" s="189"/>
      <c r="K372" s="189"/>
      <c r="L372" s="189"/>
      <c r="M372" s="189"/>
      <c r="N372" s="189"/>
      <c r="O372" s="189"/>
      <c r="P372" s="189"/>
      <c r="Q372" s="189"/>
    </row>
    <row r="373" spans="1:17" s="303" customFormat="1" x14ac:dyDescent="0.25">
      <c r="A373" s="189" t="s">
        <v>484</v>
      </c>
      <c r="B373" s="29" t="s">
        <v>543</v>
      </c>
      <c r="C373" s="29"/>
      <c r="D373" s="1104"/>
      <c r="E373" s="189"/>
      <c r="F373" s="1129"/>
      <c r="G373" s="1129"/>
      <c r="H373" s="1130"/>
      <c r="I373" s="1130"/>
      <c r="J373" s="189"/>
      <c r="K373" s="189"/>
      <c r="L373" s="189"/>
      <c r="M373" s="189"/>
      <c r="N373" s="189"/>
      <c r="O373" s="189"/>
      <c r="P373" s="189"/>
      <c r="Q373" s="189"/>
    </row>
    <row r="374" spans="1:17" s="303" customFormat="1" x14ac:dyDescent="0.25"/>
    <row r="375" spans="1:17" ht="15.75" x14ac:dyDescent="0.25">
      <c r="A375" s="1158" t="s">
        <v>867</v>
      </c>
      <c r="B375" s="294"/>
      <c r="C375" s="294"/>
      <c r="D375" s="294"/>
      <c r="E375" s="294"/>
      <c r="F375" s="294"/>
      <c r="G375" s="294"/>
      <c r="H375" s="294"/>
      <c r="I375" s="294"/>
      <c r="J375" s="294"/>
    </row>
    <row r="376" spans="1:17" x14ac:dyDescent="0.25">
      <c r="H376" s="303"/>
    </row>
    <row r="377" spans="1:17" x14ac:dyDescent="0.25">
      <c r="A377" s="189" t="s">
        <v>21</v>
      </c>
    </row>
    <row r="378" spans="1:17" x14ac:dyDescent="0.25">
      <c r="A378" s="189" t="s">
        <v>33</v>
      </c>
    </row>
    <row r="380" spans="1:17" ht="15.75" x14ac:dyDescent="0.25">
      <c r="A380" s="1158" t="s">
        <v>423</v>
      </c>
      <c r="B380" s="294"/>
      <c r="C380" s="294"/>
      <c r="D380" s="294"/>
      <c r="E380" s="294"/>
      <c r="F380" s="294"/>
      <c r="G380" s="294"/>
      <c r="H380" s="294"/>
      <c r="I380" s="294"/>
      <c r="J380" s="294"/>
    </row>
    <row r="381" spans="1:17" x14ac:dyDescent="0.25">
      <c r="C381" s="1001"/>
      <c r="D381" s="1001" t="s">
        <v>955</v>
      </c>
      <c r="E381" s="1001" t="s">
        <v>956</v>
      </c>
      <c r="F381" s="1001" t="s">
        <v>957</v>
      </c>
      <c r="G381" s="1001" t="s">
        <v>958</v>
      </c>
      <c r="H381" s="1001" t="s">
        <v>959</v>
      </c>
      <c r="I381" s="1001" t="s">
        <v>960</v>
      </c>
      <c r="J381" s="1001" t="s">
        <v>961</v>
      </c>
      <c r="K381" s="1001" t="s">
        <v>962</v>
      </c>
      <c r="L381" s="1001" t="s">
        <v>963</v>
      </c>
      <c r="M381" s="1001" t="s">
        <v>964</v>
      </c>
    </row>
    <row r="382" spans="1:17" s="1001" customFormat="1" x14ac:dyDescent="0.25">
      <c r="D382" s="1001">
        <v>2</v>
      </c>
      <c r="E382" s="1001">
        <v>3</v>
      </c>
      <c r="F382" s="1001">
        <v>4</v>
      </c>
      <c r="G382" s="1001">
        <v>5</v>
      </c>
      <c r="H382" s="1001">
        <v>6</v>
      </c>
      <c r="I382" s="1001">
        <v>7</v>
      </c>
      <c r="J382" s="1001">
        <v>8</v>
      </c>
      <c r="K382" s="1001">
        <v>9</v>
      </c>
      <c r="L382" s="1001">
        <v>10</v>
      </c>
      <c r="M382" s="1001">
        <v>11</v>
      </c>
    </row>
    <row r="383" spans="1:17" x14ac:dyDescent="0.25">
      <c r="A383" s="1001">
        <v>1</v>
      </c>
      <c r="B383" s="1185" t="s">
        <v>381</v>
      </c>
      <c r="C383" t="s">
        <v>5</v>
      </c>
      <c r="D383">
        <f t="shared" ref="D383:M392" ca="1" si="3">INDIRECT("'Transit-AltFuelER'!"&amp;$C383&amp;D$382)</f>
        <v>1158.6279649998201</v>
      </c>
      <c r="E383" s="1001">
        <f t="shared" ca="1" si="3"/>
        <v>3.6998665201005001</v>
      </c>
      <c r="F383" s="1001">
        <f t="shared" ca="1" si="3"/>
        <v>2.4664291734122622E-2</v>
      </c>
      <c r="G383" s="1001">
        <f t="shared" ca="1" si="3"/>
        <v>3.6998704386640502</v>
      </c>
      <c r="H383" s="1001">
        <f t="shared" ca="1" si="3"/>
        <v>0</v>
      </c>
      <c r="I383" s="1001">
        <f t="shared" ca="1" si="3"/>
        <v>1143.9017505930301</v>
      </c>
      <c r="J383" s="1001">
        <f t="shared" ca="1" si="3"/>
        <v>3.1098012860768001</v>
      </c>
      <c r="K383" s="1001">
        <f t="shared" ca="1" si="3"/>
        <v>1.939808623160473E-2</v>
      </c>
      <c r="L383" s="1001">
        <f t="shared" ca="1" si="3"/>
        <v>3.1098018188262002</v>
      </c>
      <c r="M383" s="1001">
        <f t="shared" ca="1" si="3"/>
        <v>0</v>
      </c>
      <c r="N383" s="1187" t="s">
        <v>966</v>
      </c>
    </row>
    <row r="384" spans="1:17" x14ac:dyDescent="0.25">
      <c r="A384" s="1001">
        <v>2</v>
      </c>
      <c r="B384" s="1185" t="s">
        <v>382</v>
      </c>
      <c r="C384" t="s">
        <v>6</v>
      </c>
      <c r="D384" s="1001">
        <f t="shared" ca="1" si="3"/>
        <v>1158.6279649998201</v>
      </c>
      <c r="E384" s="1001">
        <f t="shared" ca="1" si="3"/>
        <v>3.6998665201005001</v>
      </c>
      <c r="F384" s="1001">
        <f t="shared" ca="1" si="3"/>
        <v>2.4664291734122622E-2</v>
      </c>
      <c r="G384" s="1001">
        <f t="shared" ca="1" si="3"/>
        <v>3.6998704386640502</v>
      </c>
      <c r="H384" s="1001">
        <f t="shared" ca="1" si="3"/>
        <v>0</v>
      </c>
      <c r="I384" s="1001">
        <f t="shared" ca="1" si="3"/>
        <v>1143.9017505930301</v>
      </c>
      <c r="J384" s="1001">
        <f t="shared" ca="1" si="3"/>
        <v>3.1098012860768001</v>
      </c>
      <c r="K384" s="1001">
        <f t="shared" ca="1" si="3"/>
        <v>1.939808623160473E-2</v>
      </c>
      <c r="L384" s="1001">
        <f t="shared" ca="1" si="3"/>
        <v>3.1098018188262002</v>
      </c>
      <c r="M384" s="1001">
        <f t="shared" ca="1" si="3"/>
        <v>0</v>
      </c>
      <c r="N384" s="1185" t="s">
        <v>966</v>
      </c>
    </row>
    <row r="385" spans="1:14" x14ac:dyDescent="0.25">
      <c r="A385" s="1001">
        <v>3</v>
      </c>
      <c r="B385" s="1186" t="s">
        <v>920</v>
      </c>
      <c r="C385" t="s">
        <v>936</v>
      </c>
      <c r="D385" s="1001">
        <f t="shared" ca="1" si="3"/>
        <v>371.54358825810272</v>
      </c>
      <c r="E385" s="1001">
        <f t="shared" ca="1" si="3"/>
        <v>0.66410520963053676</v>
      </c>
      <c r="F385" s="1001">
        <f t="shared" ca="1" si="3"/>
        <v>1.8002928032571489E-2</v>
      </c>
      <c r="G385" s="1001">
        <f t="shared" ca="1" si="3"/>
        <v>0.66614357610427133</v>
      </c>
      <c r="H385" s="1001">
        <f t="shared" ca="1" si="3"/>
        <v>0.13833222021378366</v>
      </c>
      <c r="I385" s="1001">
        <f t="shared" ca="1" si="3"/>
        <v>321.41033689872376</v>
      </c>
      <c r="J385" s="1001">
        <f t="shared" ca="1" si="3"/>
        <v>0.15459730295674032</v>
      </c>
      <c r="K385" s="1001">
        <f t="shared" ca="1" si="3"/>
        <v>1.301404520821698E-2</v>
      </c>
      <c r="L385" s="1001">
        <f t="shared" ca="1" si="3"/>
        <v>0.14775445247988711</v>
      </c>
      <c r="M385" s="1001">
        <f t="shared" ca="1" si="3"/>
        <v>4.9318315455900472E-2</v>
      </c>
      <c r="N385" s="1186" t="s">
        <v>967</v>
      </c>
    </row>
    <row r="386" spans="1:14" x14ac:dyDescent="0.25">
      <c r="A386" s="1001">
        <v>4</v>
      </c>
      <c r="B386" s="1186" t="s">
        <v>921</v>
      </c>
      <c r="C386" t="s">
        <v>937</v>
      </c>
      <c r="D386" s="1001">
        <f t="shared" ca="1" si="3"/>
        <v>526.15145885879201</v>
      </c>
      <c r="E386" s="1001">
        <f t="shared" ca="1" si="3"/>
        <v>1.4170804697011463</v>
      </c>
      <c r="F386" s="1001">
        <f t="shared" ca="1" si="3"/>
        <v>2.8742549796413532E-2</v>
      </c>
      <c r="G386" s="1001">
        <f t="shared" ca="1" si="3"/>
        <v>1.4034820108394264</v>
      </c>
      <c r="H386" s="1001">
        <f t="shared" ca="1" si="3"/>
        <v>0.28993329720121153</v>
      </c>
      <c r="I386" s="1001">
        <f t="shared" ca="1" si="3"/>
        <v>437.07290710198106</v>
      </c>
      <c r="J386" s="1001">
        <f t="shared" ca="1" si="3"/>
        <v>0.66917583717098816</v>
      </c>
      <c r="K386" s="1001">
        <f t="shared" ca="1" si="3"/>
        <v>2.3781839928538519E-2</v>
      </c>
      <c r="L386" s="1001">
        <f t="shared" ca="1" si="3"/>
        <v>0.66369110060065239</v>
      </c>
      <c r="M386" s="1001">
        <f t="shared" ca="1" si="3"/>
        <v>0.14382912911713919</v>
      </c>
      <c r="N386" s="1186" t="s">
        <v>967</v>
      </c>
    </row>
    <row r="387" spans="1:14" x14ac:dyDescent="0.25">
      <c r="A387" s="1001">
        <v>5</v>
      </c>
      <c r="B387" s="1186" t="s">
        <v>922</v>
      </c>
      <c r="C387" t="s">
        <v>33</v>
      </c>
      <c r="D387" s="1001">
        <f t="shared" ca="1" si="3"/>
        <v>521.96215896047431</v>
      </c>
      <c r="E387" s="1001">
        <f t="shared" ca="1" si="3"/>
        <v>2.5431399842585116</v>
      </c>
      <c r="F387" s="1001">
        <f t="shared" ca="1" si="3"/>
        <v>1.4995751632798981E-2</v>
      </c>
      <c r="G387" s="1001">
        <f t="shared" ca="1" si="3"/>
        <v>2.7987669953420382</v>
      </c>
      <c r="H387" s="1001">
        <f t="shared" ca="1" si="3"/>
        <v>0.69216264442044484</v>
      </c>
      <c r="I387" s="1001">
        <f t="shared" ca="1" si="3"/>
        <v>437.6228968230734</v>
      </c>
      <c r="J387" s="1001">
        <f t="shared" ca="1" si="3"/>
        <v>1.1795237763644366</v>
      </c>
      <c r="K387" s="1001">
        <f t="shared" ca="1" si="3"/>
        <v>4.9221406443182847E-3</v>
      </c>
      <c r="L387" s="1001">
        <f t="shared" ca="1" si="3"/>
        <v>1.2438797241296309</v>
      </c>
      <c r="M387" s="1001">
        <f t="shared" ca="1" si="3"/>
        <v>0.24146922280468128</v>
      </c>
      <c r="N387" s="1186" t="s">
        <v>967</v>
      </c>
    </row>
    <row r="388" spans="1:14" x14ac:dyDescent="0.25">
      <c r="A388" s="1001">
        <v>6</v>
      </c>
      <c r="B388" s="1186" t="s">
        <v>923</v>
      </c>
      <c r="C388" t="s">
        <v>938</v>
      </c>
      <c r="D388" s="1001">
        <f t="shared" ca="1" si="3"/>
        <v>1061.4877495321016</v>
      </c>
      <c r="E388" s="1001">
        <f t="shared" ca="1" si="3"/>
        <v>4.1157117384391455</v>
      </c>
      <c r="F388" s="1001">
        <f t="shared" ca="1" si="3"/>
        <v>3.6006389743742151E-2</v>
      </c>
      <c r="G388" s="1001">
        <f t="shared" ca="1" si="3"/>
        <v>3.5856033730895756</v>
      </c>
      <c r="H388" s="1001">
        <f t="shared" ca="1" si="3"/>
        <v>0.69415978376848897</v>
      </c>
      <c r="I388" s="1001">
        <f t="shared" ca="1" si="3"/>
        <v>1041.9056585210456</v>
      </c>
      <c r="J388" s="1001">
        <f t="shared" ca="1" si="3"/>
        <v>1.1542156854565675</v>
      </c>
      <c r="K388" s="1001">
        <f t="shared" ca="1" si="3"/>
        <v>8.6134585845552003E-3</v>
      </c>
      <c r="L388" s="1001">
        <f t="shared" ca="1" si="3"/>
        <v>0.96481271730958407</v>
      </c>
      <c r="M388" s="1001">
        <f t="shared" ca="1" si="3"/>
        <v>0.17167987234351301</v>
      </c>
      <c r="N388" s="1186" t="s">
        <v>967</v>
      </c>
    </row>
    <row r="389" spans="1:14" x14ac:dyDescent="0.25">
      <c r="A389" s="1001">
        <v>7</v>
      </c>
      <c r="B389" s="1186" t="s">
        <v>924</v>
      </c>
      <c r="C389" t="s">
        <v>939</v>
      </c>
      <c r="D389" s="1001">
        <f t="shared" ca="1" si="3"/>
        <v>1071.7086067929799</v>
      </c>
      <c r="E389" s="1001">
        <f t="shared" ca="1" si="3"/>
        <v>8.6079947763762892</v>
      </c>
      <c r="F389" s="1001">
        <f t="shared" ca="1" si="3"/>
        <v>0.51389704526270685</v>
      </c>
      <c r="G389" s="1001">
        <f t="shared" ca="1" si="3"/>
        <v>7.20650648275533</v>
      </c>
      <c r="H389" s="1001">
        <f t="shared" ca="1" si="3"/>
        <v>0.73647509677554601</v>
      </c>
      <c r="I389" s="1001">
        <f t="shared" ca="1" si="3"/>
        <v>1068.32955529779</v>
      </c>
      <c r="J389" s="1001">
        <f t="shared" ca="1" si="3"/>
        <v>3.5193773371646699</v>
      </c>
      <c r="K389" s="1001">
        <f t="shared" ca="1" si="3"/>
        <v>0.18830362051205457</v>
      </c>
      <c r="L389" s="1001">
        <f t="shared" ca="1" si="3"/>
        <v>2.7361845955187798</v>
      </c>
      <c r="M389" s="1001">
        <f t="shared" ca="1" si="3"/>
        <v>0.30393658223899001</v>
      </c>
      <c r="N389" s="1186" t="s">
        <v>967</v>
      </c>
    </row>
    <row r="390" spans="1:14" x14ac:dyDescent="0.25">
      <c r="A390" s="1001">
        <v>8</v>
      </c>
      <c r="B390" s="1186" t="s">
        <v>925</v>
      </c>
      <c r="C390" t="s">
        <v>940</v>
      </c>
      <c r="D390" s="1001">
        <f t="shared" ca="1" si="3"/>
        <v>980.61337521557664</v>
      </c>
      <c r="E390" s="1001">
        <f t="shared" ca="1" si="3"/>
        <v>3.2710380150229899</v>
      </c>
      <c r="F390" s="1001">
        <f t="shared" ca="1" si="3"/>
        <v>1.5416911357881202E-2</v>
      </c>
      <c r="G390" s="1001">
        <f t="shared" ca="1" si="3"/>
        <v>2.7384724634470254</v>
      </c>
      <c r="H390" s="1001">
        <f t="shared" ca="1" si="3"/>
        <v>0.73647509677554601</v>
      </c>
      <c r="I390" s="1001">
        <f t="shared" ca="1" si="3"/>
        <v>977.52154309747789</v>
      </c>
      <c r="J390" s="1001">
        <f t="shared" ca="1" si="3"/>
        <v>1.3373633881225744</v>
      </c>
      <c r="K390" s="1001">
        <f t="shared" ca="1" si="3"/>
        <v>5.6491086153616366E-3</v>
      </c>
      <c r="L390" s="1001">
        <f t="shared" ca="1" si="3"/>
        <v>1.0397501462971364</v>
      </c>
      <c r="M390" s="1001">
        <f t="shared" ca="1" si="3"/>
        <v>0.30393658223899001</v>
      </c>
      <c r="N390" s="1186" t="s">
        <v>967</v>
      </c>
    </row>
    <row r="391" spans="1:14" x14ac:dyDescent="0.25">
      <c r="A391" s="1001">
        <v>9</v>
      </c>
      <c r="B391" s="1186" t="s">
        <v>926</v>
      </c>
      <c r="C391" t="s">
        <v>941</v>
      </c>
      <c r="D391" s="1001">
        <f t="shared" ca="1" si="3"/>
        <v>444.160033192973</v>
      </c>
      <c r="E391" s="1001">
        <f t="shared" ca="1" si="3"/>
        <v>1.2950024439285599</v>
      </c>
      <c r="F391" s="1001">
        <f t="shared" ca="1" si="3"/>
        <v>7.0228335669325306E-2</v>
      </c>
      <c r="G391" s="1001">
        <f t="shared" ca="1" si="3"/>
        <v>1.3696821810931299</v>
      </c>
      <c r="H391" s="1001">
        <f t="shared" ca="1" si="3"/>
        <v>7.7679578775842098E-2</v>
      </c>
      <c r="I391" s="1001">
        <f t="shared" ca="1" si="3"/>
        <v>361.28790331687298</v>
      </c>
      <c r="J391" s="1001">
        <f t="shared" ca="1" si="3"/>
        <v>0.35046922235329298</v>
      </c>
      <c r="K391" s="1001">
        <f t="shared" ca="1" si="3"/>
        <v>1.322111560358321E-2</v>
      </c>
      <c r="L391" s="1001">
        <f t="shared" ca="1" si="3"/>
        <v>0.29326282294092099</v>
      </c>
      <c r="M391" s="1001">
        <f t="shared" ca="1" si="3"/>
        <v>3.9675326428174E-2</v>
      </c>
      <c r="N391" s="1186" t="s">
        <v>967</v>
      </c>
    </row>
    <row r="392" spans="1:14" x14ac:dyDescent="0.25">
      <c r="A392" s="1001">
        <v>10</v>
      </c>
      <c r="B392" s="1186" t="s">
        <v>927</v>
      </c>
      <c r="C392" t="s">
        <v>942</v>
      </c>
      <c r="D392" s="1001">
        <f t="shared" ca="1" si="3"/>
        <v>758.21498510469098</v>
      </c>
      <c r="E392" s="1001">
        <f t="shared" ca="1" si="3"/>
        <v>4.3953119454965801</v>
      </c>
      <c r="F392" s="1001">
        <f t="shared" ca="1" si="3"/>
        <v>0.26136908933585967</v>
      </c>
      <c r="G392" s="1001">
        <f t="shared" ca="1" si="3"/>
        <v>4.8239176526792198</v>
      </c>
      <c r="H392" s="1001">
        <f t="shared" ca="1" si="3"/>
        <v>0.59992352360179502</v>
      </c>
      <c r="I392" s="1001">
        <f t="shared" ca="1" si="3"/>
        <v>735.91659010754199</v>
      </c>
      <c r="J392" s="1001">
        <f t="shared" ca="1" si="3"/>
        <v>1.86522096706748</v>
      </c>
      <c r="K392" s="1001">
        <f t="shared" ca="1" si="3"/>
        <v>7.1095796098519182E-2</v>
      </c>
      <c r="L392" s="1001">
        <f t="shared" ca="1" si="3"/>
        <v>1.94925958977166</v>
      </c>
      <c r="M392" s="1001">
        <f t="shared" ca="1" si="3"/>
        <v>0.17731184604007699</v>
      </c>
      <c r="N392" s="1186" t="s">
        <v>967</v>
      </c>
    </row>
    <row r="393" spans="1:14" x14ac:dyDescent="0.25">
      <c r="A393" s="1001">
        <v>11</v>
      </c>
      <c r="B393" s="1186" t="s">
        <v>928</v>
      </c>
      <c r="C393" t="s">
        <v>943</v>
      </c>
      <c r="D393" s="1001">
        <f t="shared" ref="D393:M406" ca="1" si="4">INDIRECT("'Transit-AltFuelER'!"&amp;$C393&amp;D$382)</f>
        <v>752.68106116842</v>
      </c>
      <c r="E393" s="1001">
        <f t="shared" ca="1" si="4"/>
        <v>4.9865489887421797</v>
      </c>
      <c r="F393" s="1001">
        <f t="shared" ca="1" si="4"/>
        <v>0.29991503265597991</v>
      </c>
      <c r="G393" s="1001">
        <f t="shared" ca="1" si="4"/>
        <v>5.4877784222392902</v>
      </c>
      <c r="H393" s="1001">
        <f t="shared" ca="1" si="4"/>
        <v>0.72100275460463004</v>
      </c>
      <c r="I393" s="1001">
        <f t="shared" ca="1" si="4"/>
        <v>733.95207299241395</v>
      </c>
      <c r="J393" s="1001">
        <f t="shared" ca="1" si="4"/>
        <v>2.3127917183616402</v>
      </c>
      <c r="K393" s="1001">
        <f t="shared" ca="1" si="4"/>
        <v>9.8442812886365472E-2</v>
      </c>
      <c r="L393" s="1001">
        <f t="shared" ca="1" si="4"/>
        <v>2.4389798512345702</v>
      </c>
      <c r="M393" s="1001">
        <f t="shared" ca="1" si="4"/>
        <v>0.25153044042154299</v>
      </c>
      <c r="N393" s="1186" t="s">
        <v>967</v>
      </c>
    </row>
    <row r="394" spans="1:14" x14ac:dyDescent="0.25">
      <c r="A394" s="1001">
        <v>12</v>
      </c>
      <c r="B394" s="1186" t="s">
        <v>929</v>
      </c>
      <c r="C394" t="s">
        <v>944</v>
      </c>
      <c r="D394" s="1001">
        <f t="shared" ca="1" si="4"/>
        <v>1196.9975966106001</v>
      </c>
      <c r="E394" s="1001">
        <f t="shared" ca="1" si="4"/>
        <v>6.3318642129832998</v>
      </c>
      <c r="F394" s="1001">
        <f t="shared" ca="1" si="4"/>
        <v>0.36006389743742134</v>
      </c>
      <c r="G394" s="1001">
        <f t="shared" ca="1" si="4"/>
        <v>5.5163128816762699</v>
      </c>
      <c r="H394" s="1001">
        <f t="shared" ca="1" si="4"/>
        <v>0.69415978376848897</v>
      </c>
      <c r="I394" s="1001">
        <f t="shared" ca="1" si="4"/>
        <v>1197.1931535270401</v>
      </c>
      <c r="J394" s="1001">
        <f t="shared" ca="1" si="4"/>
        <v>1.7757164391639499</v>
      </c>
      <c r="K394" s="1001">
        <f t="shared" ca="1" si="4"/>
        <v>8.6134585845552059E-2</v>
      </c>
      <c r="L394" s="1001">
        <f t="shared" ca="1" si="4"/>
        <v>1.48432725739936</v>
      </c>
      <c r="M394" s="1001">
        <f t="shared" ca="1" si="4"/>
        <v>0.17167987234351301</v>
      </c>
      <c r="N394" s="1186" t="s">
        <v>967</v>
      </c>
    </row>
    <row r="395" spans="1:14" x14ac:dyDescent="0.25">
      <c r="A395" s="1001">
        <v>13</v>
      </c>
      <c r="B395" s="1186" t="s">
        <v>930</v>
      </c>
      <c r="C395" t="s">
        <v>945</v>
      </c>
      <c r="D395" s="1001">
        <f t="shared" ca="1" si="4"/>
        <v>575.028916785565</v>
      </c>
      <c r="E395" s="1001">
        <f t="shared" ca="1" si="4"/>
        <v>1.40862869751605</v>
      </c>
      <c r="F395" s="1001">
        <f t="shared" ca="1" si="4"/>
        <v>2.8742549796413532E-2</v>
      </c>
      <c r="G395" s="1001">
        <f t="shared" ca="1" si="4"/>
        <v>1.39511134278273</v>
      </c>
      <c r="H395" s="1001">
        <f t="shared" ca="1" si="4"/>
        <v>0.90604155375378603</v>
      </c>
      <c r="I395" s="1001">
        <f t="shared" ca="1" si="4"/>
        <v>477.675308308176</v>
      </c>
      <c r="J395" s="1001">
        <f t="shared" ca="1" si="4"/>
        <v>0.66518472879819901</v>
      </c>
      <c r="K395" s="1001">
        <f t="shared" ca="1" si="4"/>
        <v>2.3781839928538519E-2</v>
      </c>
      <c r="L395" s="1001">
        <f t="shared" ca="1" si="4"/>
        <v>0.65973270437440601</v>
      </c>
      <c r="M395" s="1001">
        <f t="shared" ca="1" si="4"/>
        <v>0.44946602849105999</v>
      </c>
      <c r="N395" s="1186" t="s">
        <v>967</v>
      </c>
    </row>
    <row r="396" spans="1:14" x14ac:dyDescent="0.25">
      <c r="A396" s="1001">
        <v>14</v>
      </c>
      <c r="B396" s="1186" t="s">
        <v>931</v>
      </c>
      <c r="C396" t="s">
        <v>946</v>
      </c>
      <c r="D396" s="1001">
        <f t="shared" ca="1" si="4"/>
        <v>570.45044695133799</v>
      </c>
      <c r="E396" s="1001">
        <f t="shared" ca="1" si="4"/>
        <v>1.55883926712163</v>
      </c>
      <c r="F396" s="1001">
        <f t="shared" ca="1" si="4"/>
        <v>2.808338693578448E-2</v>
      </c>
      <c r="G396" s="1001">
        <f t="shared" ca="1" si="4"/>
        <v>1.5471041214864001</v>
      </c>
      <c r="H396" s="1001">
        <f t="shared" ca="1" si="4"/>
        <v>0.97812647440665401</v>
      </c>
      <c r="I396" s="1001">
        <f t="shared" ca="1" si="4"/>
        <v>478.27638997057198</v>
      </c>
      <c r="J396" s="1001">
        <f t="shared" ca="1" si="4"/>
        <v>0.80038938204577603</v>
      </c>
      <c r="K396" s="1001">
        <f t="shared" ca="1" si="4"/>
        <v>2.3194132230187348E-2</v>
      </c>
      <c r="L396" s="1001">
        <f t="shared" ca="1" si="4"/>
        <v>0.80198653433219902</v>
      </c>
      <c r="M396" s="1001">
        <f t="shared" ca="1" si="4"/>
        <v>0.490078055647238</v>
      </c>
      <c r="N396" s="1186" t="s">
        <v>967</v>
      </c>
    </row>
    <row r="397" spans="1:14" x14ac:dyDescent="0.25">
      <c r="A397" s="1001">
        <v>15</v>
      </c>
      <c r="B397" s="1186" t="s">
        <v>932</v>
      </c>
      <c r="C397" t="s">
        <v>21</v>
      </c>
      <c r="D397" s="1001">
        <f t="shared" ca="1" si="4"/>
        <v>1160.0959011279799</v>
      </c>
      <c r="E397" s="1001">
        <f t="shared" ca="1" si="4"/>
        <v>4.3151120751167502</v>
      </c>
      <c r="F397" s="1001">
        <f t="shared" ca="1" si="4"/>
        <v>4.6229815757386133E-2</v>
      </c>
      <c r="G397" s="1001">
        <f t="shared" ca="1" si="4"/>
        <v>3.6037536836837001</v>
      </c>
      <c r="H397" s="1001">
        <f t="shared" ca="1" si="4"/>
        <v>2.1001851295076501</v>
      </c>
      <c r="I397" s="1001">
        <f t="shared" ca="1" si="4"/>
        <v>1138.6947087661699</v>
      </c>
      <c r="J397" s="1001">
        <f t="shared" ca="1" si="4"/>
        <v>3.3751667783169901</v>
      </c>
      <c r="K397" s="1001">
        <f t="shared" ca="1" si="4"/>
        <v>3.1882134689545052E-2</v>
      </c>
      <c r="L397" s="1001">
        <f t="shared" ca="1" si="4"/>
        <v>2.8086122208575102</v>
      </c>
      <c r="M397" s="1001">
        <f t="shared" ca="1" si="4"/>
        <v>1.12700650665711</v>
      </c>
      <c r="N397" s="1186" t="s">
        <v>967</v>
      </c>
    </row>
    <row r="398" spans="1:14" x14ac:dyDescent="0.25">
      <c r="A398" s="1001">
        <v>16</v>
      </c>
      <c r="B398" s="1186" t="s">
        <v>909</v>
      </c>
      <c r="C398" t="s">
        <v>947</v>
      </c>
      <c r="D398" s="1001">
        <f t="shared" ca="1" si="4"/>
        <v>233.928</v>
      </c>
      <c r="E398" s="1001">
        <f t="shared" ca="1" si="4"/>
        <v>0.66014434356912199</v>
      </c>
      <c r="F398" s="1001">
        <f t="shared" ca="1" si="4"/>
        <v>1.8002928032571489E-2</v>
      </c>
      <c r="G398" s="1001">
        <f t="shared" ca="1" si="4"/>
        <v>0.662170552787546</v>
      </c>
      <c r="H398" s="1001">
        <f t="shared" ca="1" si="4"/>
        <v>0.43228818816807402</v>
      </c>
      <c r="I398" s="1001">
        <f t="shared" ca="1" si="4"/>
        <v>202.35865807871411</v>
      </c>
      <c r="J398" s="1001">
        <f t="shared" ca="1" si="4"/>
        <v>0.153675251448052</v>
      </c>
      <c r="K398" s="1001">
        <f t="shared" ca="1" si="4"/>
        <v>1.301404520821698E-2</v>
      </c>
      <c r="L398" s="1001">
        <f t="shared" ca="1" si="4"/>
        <v>0.146873213200683</v>
      </c>
      <c r="M398" s="1001">
        <f t="shared" ca="1" si="4"/>
        <v>0.15411973579968899</v>
      </c>
      <c r="N398" s="1186" t="s">
        <v>967</v>
      </c>
    </row>
    <row r="399" spans="1:14" x14ac:dyDescent="0.25">
      <c r="A399" s="1001">
        <v>17</v>
      </c>
      <c r="B399" s="1185" t="s">
        <v>383</v>
      </c>
      <c r="C399" t="s">
        <v>7</v>
      </c>
      <c r="D399" s="1001">
        <f t="shared" ca="1" si="4"/>
        <v>1112.7346627725599</v>
      </c>
      <c r="E399" s="1001">
        <f t="shared" ca="1" si="4"/>
        <v>1.6760393953157799</v>
      </c>
      <c r="F399" s="1001">
        <f t="shared" ca="1" si="4"/>
        <v>4.5958139680688979E-2</v>
      </c>
      <c r="G399" s="1001">
        <f t="shared" ca="1" si="4"/>
        <v>1.38785587882015</v>
      </c>
      <c r="H399" s="1001">
        <f t="shared" ca="1" si="4"/>
        <v>6.6031232050939206E-2</v>
      </c>
      <c r="I399" s="1001">
        <f t="shared" ca="1" si="4"/>
        <v>1108.8773402315121</v>
      </c>
      <c r="J399" s="1001">
        <f t="shared" ca="1" si="4"/>
        <v>0.97891588194847301</v>
      </c>
      <c r="K399" s="1001">
        <f t="shared" ca="1" si="4"/>
        <v>3.2810855041907935E-2</v>
      </c>
      <c r="L399" s="1001">
        <f t="shared" ca="1" si="4"/>
        <v>0.79683648009321995</v>
      </c>
      <c r="M399" s="1001">
        <f t="shared" ca="1" si="4"/>
        <v>5.6372874494692901E-2</v>
      </c>
      <c r="N399" s="1185" t="s">
        <v>966</v>
      </c>
    </row>
    <row r="400" spans="1:14" x14ac:dyDescent="0.25">
      <c r="A400" s="1001">
        <v>18</v>
      </c>
      <c r="B400" s="1185" t="s">
        <v>520</v>
      </c>
      <c r="C400" t="s">
        <v>948</v>
      </c>
      <c r="D400" s="1001">
        <f t="shared" ca="1" si="4"/>
        <v>1300.3310819054645</v>
      </c>
      <c r="E400" s="1001">
        <f t="shared" ca="1" si="4"/>
        <v>3.9310995272505136</v>
      </c>
      <c r="F400" s="1001">
        <f t="shared" ca="1" si="4"/>
        <v>3.9636291039358208E-2</v>
      </c>
      <c r="G400" s="1001">
        <f t="shared" ca="1" si="4"/>
        <v>4.0874370713778347</v>
      </c>
      <c r="H400" s="1001">
        <f t="shared" ca="1" si="4"/>
        <v>0</v>
      </c>
      <c r="I400" s="1001">
        <f t="shared" ca="1" si="4"/>
        <v>1297.9324866812365</v>
      </c>
      <c r="J400" s="1001">
        <f t="shared" ca="1" si="4"/>
        <v>3.5821288133192621</v>
      </c>
      <c r="K400" s="1001">
        <f t="shared" ca="1" si="4"/>
        <v>3.5384685362244928E-2</v>
      </c>
      <c r="L400" s="1001">
        <f t="shared" ca="1" si="4"/>
        <v>3.8457283214715319</v>
      </c>
      <c r="M400" s="1001">
        <f t="shared" ca="1" si="4"/>
        <v>0</v>
      </c>
      <c r="N400" s="1185" t="s">
        <v>966</v>
      </c>
    </row>
    <row r="401" spans="1:14" x14ac:dyDescent="0.25">
      <c r="A401" s="1001">
        <v>19</v>
      </c>
      <c r="B401" s="11" t="s">
        <v>380</v>
      </c>
      <c r="C401" t="s">
        <v>949</v>
      </c>
      <c r="D401" s="1001">
        <f t="shared" ca="1" si="4"/>
        <v>341.71915458405175</v>
      </c>
      <c r="E401" s="1001">
        <f t="shared" ca="1" si="4"/>
        <v>0.66014434356912199</v>
      </c>
      <c r="F401" s="1001">
        <f t="shared" ca="1" si="4"/>
        <v>3.600585606514297E-3</v>
      </c>
      <c r="G401" s="1001">
        <f t="shared" ca="1" si="4"/>
        <v>0.662170552787546</v>
      </c>
      <c r="H401" s="1001">
        <f t="shared" ca="1" si="4"/>
        <v>0.43228818816807402</v>
      </c>
      <c r="I401" s="1001">
        <f t="shared" ca="1" si="4"/>
        <v>269.1000732512216</v>
      </c>
      <c r="J401" s="1001">
        <f t="shared" ca="1" si="4"/>
        <v>0.153675251448052</v>
      </c>
      <c r="K401" s="1001">
        <f t="shared" ca="1" si="4"/>
        <v>2.6028090416433947E-3</v>
      </c>
      <c r="L401" s="1001">
        <f t="shared" ca="1" si="4"/>
        <v>0.146873213200683</v>
      </c>
      <c r="M401" s="1001">
        <f t="shared" ca="1" si="4"/>
        <v>0.15411973579968899</v>
      </c>
      <c r="N401" s="11" t="s">
        <v>967</v>
      </c>
    </row>
    <row r="402" spans="1:14" x14ac:dyDescent="0.25">
      <c r="A402" s="1001">
        <v>20</v>
      </c>
      <c r="B402" s="11" t="s">
        <v>519</v>
      </c>
      <c r="C402" t="s">
        <v>950</v>
      </c>
      <c r="D402" s="1001">
        <f t="shared" ca="1" si="4"/>
        <v>1848.8774445863801</v>
      </c>
      <c r="E402" s="1001">
        <f t="shared" ca="1" si="4"/>
        <v>13.4359731297045</v>
      </c>
      <c r="F402" s="1001">
        <f t="shared" ca="1" si="4"/>
        <v>0.79227663022049621</v>
      </c>
      <c r="G402" s="1001">
        <f t="shared" ca="1" si="4"/>
        <v>11.866988722974</v>
      </c>
      <c r="H402" s="1001">
        <f t="shared" ca="1" si="4"/>
        <v>0.77951994045264605</v>
      </c>
      <c r="I402" s="1001">
        <f t="shared" ca="1" si="4"/>
        <v>1849.9702080202801</v>
      </c>
      <c r="J402" s="1001">
        <f t="shared" ca="1" si="4"/>
        <v>3.5640723106921</v>
      </c>
      <c r="K402" s="1001">
        <f t="shared" ca="1" si="4"/>
        <v>0.19900926624154056</v>
      </c>
      <c r="L402" s="1001">
        <f t="shared" ca="1" si="4"/>
        <v>3.1188816432372</v>
      </c>
      <c r="M402" s="1001">
        <f t="shared" ca="1" si="4"/>
        <v>0.21429608255601401</v>
      </c>
      <c r="N402" s="11" t="s">
        <v>967</v>
      </c>
    </row>
    <row r="403" spans="1:14" x14ac:dyDescent="0.25">
      <c r="A403" s="1001">
        <v>21</v>
      </c>
      <c r="B403" s="11" t="s">
        <v>384</v>
      </c>
      <c r="C403" t="s">
        <v>951</v>
      </c>
      <c r="D403" s="1001">
        <f t="shared" ca="1" si="4"/>
        <v>1389.48214554682</v>
      </c>
      <c r="E403" s="1001">
        <f t="shared" ca="1" si="4"/>
        <v>13.282913338837</v>
      </c>
      <c r="F403" s="1001">
        <f t="shared" ca="1" si="4"/>
        <v>0.68177754625287856</v>
      </c>
      <c r="G403" s="1001">
        <f t="shared" ca="1" si="4"/>
        <v>11.6746533759563</v>
      </c>
      <c r="H403" s="1001">
        <f t="shared" ca="1" si="4"/>
        <v>0.80777607872203105</v>
      </c>
      <c r="I403" s="1001">
        <f t="shared" ca="1" si="4"/>
        <v>1389.56677507162</v>
      </c>
      <c r="J403" s="1001">
        <f t="shared" ca="1" si="4"/>
        <v>4.0297879304026303</v>
      </c>
      <c r="K403" s="1001">
        <f t="shared" ca="1" si="4"/>
        <v>0.19998051060907643</v>
      </c>
      <c r="L403" s="1001">
        <f t="shared" ca="1" si="4"/>
        <v>3.4796686853835102</v>
      </c>
      <c r="M403" s="1001">
        <f t="shared" ca="1" si="4"/>
        <v>0.283500746614259</v>
      </c>
      <c r="N403" s="11" t="s">
        <v>967</v>
      </c>
    </row>
    <row r="404" spans="1:14" x14ac:dyDescent="0.25">
      <c r="A404" s="1001">
        <v>22</v>
      </c>
      <c r="B404" s="11" t="s">
        <v>933</v>
      </c>
      <c r="C404" t="s">
        <v>952</v>
      </c>
      <c r="D404" s="1001">
        <f t="shared" ca="1" si="4"/>
        <v>483.91638931874598</v>
      </c>
      <c r="E404" s="1001">
        <f t="shared" ca="1" si="4"/>
        <v>1.40862869751605</v>
      </c>
      <c r="F404" s="1001">
        <f t="shared" ca="1" si="4"/>
        <v>5.7485099592827042E-3</v>
      </c>
      <c r="G404" s="1001">
        <f t="shared" ca="1" si="4"/>
        <v>1.39511134278273</v>
      </c>
      <c r="H404" s="1001">
        <f t="shared" ca="1" si="4"/>
        <v>0.90604155375378603</v>
      </c>
      <c r="I404" s="1001">
        <f t="shared" ca="1" si="4"/>
        <v>365.9382969824282</v>
      </c>
      <c r="J404" s="1001">
        <f t="shared" ca="1" si="4"/>
        <v>0.66518472879819901</v>
      </c>
      <c r="K404" s="1001">
        <f t="shared" ca="1" si="4"/>
        <v>4.7563679857077039E-3</v>
      </c>
      <c r="L404" s="1001">
        <f t="shared" ca="1" si="4"/>
        <v>0.65973270437440601</v>
      </c>
      <c r="M404" s="1001">
        <f t="shared" ca="1" si="4"/>
        <v>0.44946602849105999</v>
      </c>
      <c r="N404" s="11" t="s">
        <v>967</v>
      </c>
    </row>
    <row r="405" spans="1:14" x14ac:dyDescent="0.25">
      <c r="A405" s="1001">
        <v>23</v>
      </c>
      <c r="B405" s="11" t="s">
        <v>934</v>
      </c>
      <c r="C405" t="s">
        <v>953</v>
      </c>
      <c r="D405" s="1001">
        <f t="shared" ca="1" si="4"/>
        <v>480.0633716250112</v>
      </c>
      <c r="E405" s="1001">
        <f t="shared" ca="1" si="4"/>
        <v>1.55883926712163</v>
      </c>
      <c r="F405" s="1001">
        <f t="shared" ca="1" si="4"/>
        <v>5.6166773871568938E-3</v>
      </c>
      <c r="G405" s="1001">
        <f t="shared" ca="1" si="4"/>
        <v>1.5471041214864001</v>
      </c>
      <c r="H405" s="1001">
        <f t="shared" ca="1" si="4"/>
        <v>0.97812647440665401</v>
      </c>
      <c r="I405" s="1001">
        <f t="shared" ca="1" si="4"/>
        <v>366.3987746250001</v>
      </c>
      <c r="J405" s="1001">
        <f t="shared" ca="1" si="4"/>
        <v>0.80038938204577603</v>
      </c>
      <c r="K405" s="1001">
        <f t="shared" ca="1" si="4"/>
        <v>4.6388264460374695E-3</v>
      </c>
      <c r="L405" s="1001">
        <f t="shared" ca="1" si="4"/>
        <v>0.80198653433219902</v>
      </c>
      <c r="M405" s="1001">
        <f t="shared" ca="1" si="4"/>
        <v>0.490078055647238</v>
      </c>
      <c r="N405" s="11" t="s">
        <v>967</v>
      </c>
    </row>
    <row r="406" spans="1:14" x14ac:dyDescent="0.25">
      <c r="A406" s="1001">
        <v>24</v>
      </c>
      <c r="B406" s="11" t="s">
        <v>385</v>
      </c>
      <c r="C406" t="s">
        <v>954</v>
      </c>
      <c r="D406" s="1001">
        <f t="shared" ca="1" si="4"/>
        <v>406.05856640229803</v>
      </c>
      <c r="E406" s="1001">
        <f t="shared" ca="1" si="4"/>
        <v>0.66014434356912199</v>
      </c>
      <c r="F406" s="1001">
        <f t="shared" ca="1" si="4"/>
        <v>1.8002928032571489E-2</v>
      </c>
      <c r="G406" s="1001">
        <f t="shared" ca="1" si="4"/>
        <v>0.662170552787546</v>
      </c>
      <c r="H406" s="1001">
        <f t="shared" ca="1" si="4"/>
        <v>0.43228818816807402</v>
      </c>
      <c r="I406" s="1001">
        <f t="shared" ca="1" si="4"/>
        <v>351.26812775816802</v>
      </c>
      <c r="J406" s="1001">
        <f t="shared" ca="1" si="4"/>
        <v>0.153675251448052</v>
      </c>
      <c r="K406" s="1001">
        <f t="shared" ca="1" si="4"/>
        <v>1.301404520821698E-2</v>
      </c>
      <c r="L406" s="1001">
        <f t="shared" ca="1" si="4"/>
        <v>0.146873213200683</v>
      </c>
      <c r="M406" s="1001">
        <f t="shared" ca="1" si="4"/>
        <v>0.15411973579968899</v>
      </c>
      <c r="N406" s="11" t="s">
        <v>967</v>
      </c>
    </row>
  </sheetData>
  <mergeCells count="4">
    <mergeCell ref="A334:H334"/>
    <mergeCell ref="D361:J361"/>
    <mergeCell ref="B363:B367"/>
    <mergeCell ref="A57:A58"/>
  </mergeCells>
  <hyperlinks>
    <hyperlink ref="B337" r:id="rId1" display="http://www.vtpi.org/tdm/tdm41.htm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A93"/>
  <sheetViews>
    <sheetView showGridLines="0" zoomScale="80" zoomScaleNormal="80" workbookViewId="0">
      <selection activeCell="F77" sqref="F77"/>
    </sheetView>
  </sheetViews>
  <sheetFormatPr defaultRowHeight="15" x14ac:dyDescent="0.25"/>
  <cols>
    <col min="1" max="2" width="2.140625" style="294" customWidth="1"/>
    <col min="3" max="3" width="75.42578125" style="294" customWidth="1"/>
    <col min="4" max="4" width="16.7109375" style="294" hidden="1" customWidth="1"/>
    <col min="5" max="5" width="16.5703125" style="294" hidden="1" customWidth="1"/>
    <col min="6" max="6" width="25" style="294" bestFit="1" customWidth="1"/>
    <col min="7" max="8" width="16.5703125" style="294" hidden="1" customWidth="1"/>
    <col min="9" max="9" width="28.140625" style="294" bestFit="1" customWidth="1"/>
    <col min="10" max="10" width="2.140625" style="294" customWidth="1"/>
    <col min="11" max="11" width="2.28515625" style="294" customWidth="1"/>
    <col min="12" max="16384" width="9.140625" style="294"/>
  </cols>
  <sheetData>
    <row r="1" spans="1:27" ht="12.75" customHeight="1" x14ac:dyDescent="0.25">
      <c r="A1" s="610"/>
      <c r="B1" s="610"/>
      <c r="C1" s="610"/>
      <c r="D1" s="610"/>
      <c r="E1" s="610"/>
      <c r="F1" s="610"/>
      <c r="G1" s="610"/>
      <c r="H1" s="610"/>
      <c r="I1" s="610"/>
      <c r="J1" s="610"/>
      <c r="K1" s="610"/>
    </row>
    <row r="2" spans="1:27" ht="12.75" customHeight="1" x14ac:dyDescent="0.25">
      <c r="A2" s="610"/>
      <c r="B2" s="609"/>
      <c r="C2" s="609"/>
      <c r="D2" s="609"/>
      <c r="E2" s="609"/>
      <c r="F2" s="609"/>
      <c r="G2" s="609"/>
      <c r="H2" s="610"/>
      <c r="I2" s="302"/>
      <c r="J2" s="302"/>
      <c r="K2" s="610"/>
    </row>
    <row r="3" spans="1:27" ht="28.5" x14ac:dyDescent="0.25">
      <c r="A3" s="610"/>
      <c r="B3" s="302"/>
      <c r="C3" s="1199" t="s">
        <v>566</v>
      </c>
      <c r="D3" s="1199"/>
      <c r="E3" s="1199"/>
      <c r="F3" s="1199"/>
      <c r="G3" s="1199"/>
      <c r="H3" s="1199"/>
      <c r="I3" s="1199"/>
      <c r="J3" s="520"/>
      <c r="K3" s="610"/>
      <c r="AA3" s="445"/>
    </row>
    <row r="4" spans="1:27" ht="9.75" customHeight="1" x14ac:dyDescent="0.25">
      <c r="A4" s="610"/>
      <c r="B4" s="296"/>
      <c r="C4" s="382"/>
      <c r="D4" s="480"/>
      <c r="E4" s="565"/>
      <c r="F4" s="565"/>
      <c r="G4" s="565"/>
      <c r="H4" s="565"/>
      <c r="I4" s="565"/>
      <c r="J4" s="520"/>
      <c r="K4" s="610"/>
      <c r="AA4" s="445"/>
    </row>
    <row r="5" spans="1:27" s="512" customFormat="1" x14ac:dyDescent="0.25">
      <c r="A5" s="610"/>
      <c r="B5" s="296"/>
      <c r="C5" s="594" t="s">
        <v>711</v>
      </c>
      <c r="D5"/>
      <c r="E5" s="223"/>
      <c r="F5" s="594" t="s">
        <v>559</v>
      </c>
      <c r="G5" s="594"/>
      <c r="H5" s="594"/>
      <c r="I5" s="594" t="s">
        <v>560</v>
      </c>
      <c r="J5"/>
      <c r="K5" s="610"/>
      <c r="AA5" s="445"/>
    </row>
    <row r="6" spans="1:27" s="512" customFormat="1" ht="15.75" x14ac:dyDescent="0.25">
      <c r="A6" s="610"/>
      <c r="B6" s="296"/>
      <c r="C6" s="557" t="s">
        <v>136</v>
      </c>
      <c r="D6" s="165">
        <v>2010</v>
      </c>
      <c r="E6" s="165">
        <v>2020</v>
      </c>
      <c r="F6" s="129">
        <v>2011</v>
      </c>
      <c r="G6" s="165">
        <v>2010</v>
      </c>
      <c r="H6" s="165">
        <v>2020</v>
      </c>
      <c r="I6" s="129">
        <v>2011</v>
      </c>
      <c r="J6" s="7"/>
      <c r="K6" s="610"/>
      <c r="AA6" s="445"/>
    </row>
    <row r="7" spans="1:27" s="512" customFormat="1" x14ac:dyDescent="0.25">
      <c r="A7" s="610"/>
      <c r="B7" s="296"/>
      <c r="C7" s="359" t="s">
        <v>200</v>
      </c>
      <c r="D7" s="129">
        <f>F7</f>
        <v>4</v>
      </c>
      <c r="E7" s="129">
        <f>F7</f>
        <v>4</v>
      </c>
      <c r="F7" s="129">
        <v>4</v>
      </c>
      <c r="G7" s="129">
        <f>I7</f>
        <v>4</v>
      </c>
      <c r="H7" s="129">
        <f>I7</f>
        <v>4</v>
      </c>
      <c r="I7" s="129">
        <v>4</v>
      </c>
      <c r="J7" s="167"/>
      <c r="K7" s="610"/>
      <c r="AA7" s="445"/>
    </row>
    <row r="8" spans="1:27" s="512" customFormat="1" x14ac:dyDescent="0.25">
      <c r="A8" s="610"/>
      <c r="B8" s="296"/>
      <c r="C8" s="359" t="s">
        <v>201</v>
      </c>
      <c r="D8" s="129">
        <f t="shared" ref="D8:D11" si="0">F8</f>
        <v>8</v>
      </c>
      <c r="E8" s="129">
        <f t="shared" ref="E8:E12" si="1">F8</f>
        <v>8</v>
      </c>
      <c r="F8" s="130">
        <v>8</v>
      </c>
      <c r="G8" s="129">
        <f t="shared" ref="G8:G13" si="2">I8</f>
        <v>8</v>
      </c>
      <c r="H8" s="129">
        <f t="shared" ref="H8:H13" si="3">I8</f>
        <v>8</v>
      </c>
      <c r="I8" s="130">
        <v>8</v>
      </c>
      <c r="J8" s="167"/>
      <c r="K8" s="610"/>
      <c r="AA8" s="445"/>
    </row>
    <row r="9" spans="1:27" s="512" customFormat="1" x14ac:dyDescent="0.25">
      <c r="A9" s="610"/>
      <c r="B9" s="296"/>
      <c r="C9" s="359" t="s">
        <v>558</v>
      </c>
      <c r="D9" s="129">
        <f t="shared" si="0"/>
        <v>3</v>
      </c>
      <c r="E9" s="129">
        <f t="shared" si="1"/>
        <v>3</v>
      </c>
      <c r="F9" s="130">
        <v>3</v>
      </c>
      <c r="G9" s="129">
        <f t="shared" si="2"/>
        <v>3</v>
      </c>
      <c r="H9" s="129">
        <f t="shared" si="3"/>
        <v>3</v>
      </c>
      <c r="I9" s="130">
        <v>3</v>
      </c>
      <c r="J9" s="167"/>
      <c r="K9" s="610"/>
      <c r="AA9" s="445"/>
    </row>
    <row r="10" spans="1:27" s="512" customFormat="1" x14ac:dyDescent="0.25">
      <c r="A10" s="610"/>
      <c r="B10" s="296"/>
      <c r="C10" s="359" t="s">
        <v>567</v>
      </c>
      <c r="D10" s="129">
        <f t="shared" si="0"/>
        <v>1000</v>
      </c>
      <c r="E10" s="129">
        <f t="shared" si="1"/>
        <v>1000</v>
      </c>
      <c r="F10" s="38">
        <v>1000</v>
      </c>
      <c r="G10" s="129">
        <f t="shared" si="2"/>
        <v>1000</v>
      </c>
      <c r="H10" s="129">
        <f t="shared" si="3"/>
        <v>1000</v>
      </c>
      <c r="I10" s="38">
        <v>1000</v>
      </c>
      <c r="J10" s="167"/>
      <c r="K10" s="610"/>
      <c r="AA10" s="445"/>
    </row>
    <row r="11" spans="1:27" s="512" customFormat="1" x14ac:dyDescent="0.25">
      <c r="A11" s="610"/>
      <c r="B11" s="296"/>
      <c r="C11" s="359" t="s">
        <v>561</v>
      </c>
      <c r="D11" s="131">
        <f t="shared" si="0"/>
        <v>0.03</v>
      </c>
      <c r="E11" s="131">
        <f t="shared" si="1"/>
        <v>0.03</v>
      </c>
      <c r="F11" s="131">
        <v>0.03</v>
      </c>
      <c r="G11" s="131">
        <f>I11</f>
        <v>0.03</v>
      </c>
      <c r="H11" s="131">
        <f t="shared" si="3"/>
        <v>0.03</v>
      </c>
      <c r="I11" s="131">
        <v>0.03</v>
      </c>
      <c r="J11" s="167"/>
      <c r="K11" s="610"/>
      <c r="AA11" s="445"/>
    </row>
    <row r="12" spans="1:27" s="512" customFormat="1" x14ac:dyDescent="0.25">
      <c r="A12" s="610"/>
      <c r="B12" s="296"/>
      <c r="C12" s="535" t="s">
        <v>563</v>
      </c>
      <c r="D12" s="7"/>
      <c r="E12" s="129">
        <f t="shared" si="1"/>
        <v>9</v>
      </c>
      <c r="F12" s="38">
        <v>9</v>
      </c>
      <c r="G12" s="129"/>
      <c r="H12" s="129">
        <f t="shared" si="3"/>
        <v>9</v>
      </c>
      <c r="I12" s="38">
        <v>9</v>
      </c>
      <c r="J12" s="167"/>
      <c r="K12" s="610"/>
      <c r="N12" s="497"/>
      <c r="O12" s="497"/>
      <c r="P12" s="497"/>
      <c r="Q12" s="497"/>
    </row>
    <row r="13" spans="1:27" s="512" customFormat="1" x14ac:dyDescent="0.25">
      <c r="A13" s="610"/>
      <c r="B13" s="296"/>
      <c r="C13" s="359" t="s">
        <v>202</v>
      </c>
      <c r="D13" s="38">
        <f>F13</f>
        <v>60</v>
      </c>
      <c r="E13" s="129">
        <f>F13</f>
        <v>60</v>
      </c>
      <c r="F13" s="38">
        <v>60</v>
      </c>
      <c r="G13" s="129">
        <f t="shared" si="2"/>
        <v>60</v>
      </c>
      <c r="H13" s="129">
        <f t="shared" si="3"/>
        <v>60</v>
      </c>
      <c r="I13" s="38">
        <v>60</v>
      </c>
      <c r="J13" s="167"/>
      <c r="K13" s="610"/>
      <c r="N13" s="497"/>
      <c r="O13" s="497"/>
      <c r="P13" s="497"/>
      <c r="Q13" s="497"/>
    </row>
    <row r="14" spans="1:27" s="512" customFormat="1" x14ac:dyDescent="0.25">
      <c r="A14" s="610"/>
      <c r="B14" s="296"/>
      <c r="C14" s="29"/>
      <c r="D14" s="591"/>
      <c r="E14" s="493"/>
      <c r="F14" s="591"/>
      <c r="G14" s="493"/>
      <c r="H14" s="493"/>
      <c r="I14" s="591"/>
      <c r="J14" s="167"/>
      <c r="K14" s="610"/>
      <c r="N14" s="497"/>
      <c r="O14" s="497"/>
      <c r="P14" s="497"/>
      <c r="Q14" s="497"/>
    </row>
    <row r="15" spans="1:27" s="512" customFormat="1" ht="15.75" x14ac:dyDescent="0.25">
      <c r="A15" s="610"/>
      <c r="B15" s="296"/>
      <c r="C15" s="488" t="s">
        <v>744</v>
      </c>
      <c r="D15" s="583"/>
      <c r="E15" s="583"/>
      <c r="F15" s="583"/>
      <c r="G15" s="583"/>
      <c r="H15" s="583"/>
      <c r="I15" s="583"/>
      <c r="J15" s="167"/>
      <c r="K15" s="610"/>
      <c r="N15" s="497"/>
      <c r="O15" s="497"/>
      <c r="P15" s="497"/>
      <c r="Q15" s="497"/>
    </row>
    <row r="16" spans="1:27" s="512" customFormat="1" x14ac:dyDescent="0.25">
      <c r="A16" s="610"/>
      <c r="B16" s="296"/>
      <c r="C16" s="591" t="s">
        <v>711</v>
      </c>
      <c r="D16" s="8"/>
      <c r="E16" s="8"/>
      <c r="F16" s="304"/>
      <c r="G16" s="304"/>
      <c r="H16" s="304"/>
      <c r="I16" s="304"/>
      <c r="J16" s="167"/>
      <c r="K16" s="610"/>
      <c r="N16" s="497"/>
      <c r="O16" s="497"/>
      <c r="P16" s="497"/>
      <c r="Q16" s="497"/>
    </row>
    <row r="17" spans="1:17" s="512" customFormat="1" x14ac:dyDescent="0.25">
      <c r="A17" s="610"/>
      <c r="B17" s="296"/>
      <c r="C17" s="379" t="s">
        <v>456</v>
      </c>
      <c r="D17" s="20">
        <v>4</v>
      </c>
      <c r="E17" s="20">
        <v>4</v>
      </c>
      <c r="F17" s="20">
        <v>4</v>
      </c>
      <c r="G17" s="20">
        <v>4</v>
      </c>
      <c r="H17" s="20">
        <v>4</v>
      </c>
      <c r="I17" s="20">
        <v>4</v>
      </c>
      <c r="J17" s="167"/>
      <c r="K17" s="610"/>
      <c r="N17" s="497"/>
      <c r="O17" s="497"/>
      <c r="P17" s="497"/>
      <c r="Q17" s="497"/>
    </row>
    <row r="18" spans="1:17" s="512" customFormat="1" x14ac:dyDescent="0.25">
      <c r="A18" s="610"/>
      <c r="B18" s="296"/>
      <c r="C18" s="379" t="s">
        <v>71</v>
      </c>
      <c r="D18" s="20">
        <v>250</v>
      </c>
      <c r="E18" s="20">
        <v>250</v>
      </c>
      <c r="F18" s="20">
        <v>250</v>
      </c>
      <c r="G18" s="20">
        <v>250</v>
      </c>
      <c r="H18" s="20">
        <v>250</v>
      </c>
      <c r="I18" s="20">
        <v>250</v>
      </c>
      <c r="J18" s="167"/>
      <c r="K18" s="610"/>
      <c r="N18" s="497"/>
      <c r="O18" s="497"/>
      <c r="P18" s="497"/>
      <c r="Q18" s="497"/>
    </row>
    <row r="19" spans="1:17" s="512" customFormat="1" x14ac:dyDescent="0.25">
      <c r="A19" s="610"/>
      <c r="B19" s="296"/>
      <c r="C19" s="590"/>
      <c r="D19" s="10"/>
      <c r="E19" s="10"/>
      <c r="F19" s="10"/>
      <c r="G19" s="10"/>
      <c r="H19" s="10"/>
      <c r="I19" s="10"/>
      <c r="J19" s="167"/>
      <c r="K19" s="610"/>
      <c r="N19" s="497"/>
      <c r="O19" s="497"/>
      <c r="P19" s="497"/>
      <c r="Q19" s="497"/>
    </row>
    <row r="20" spans="1:17" s="512" customFormat="1" ht="15.75" customHeight="1" x14ac:dyDescent="0.25">
      <c r="A20" s="610"/>
      <c r="B20" s="296"/>
      <c r="C20" s="558" t="s">
        <v>700</v>
      </c>
      <c r="D20" s="507"/>
      <c r="E20" s="507"/>
      <c r="F20" s="507"/>
      <c r="G20" s="507" t="s">
        <v>700</v>
      </c>
      <c r="H20" s="507"/>
      <c r="I20" s="507"/>
      <c r="J20" s="167"/>
      <c r="K20" s="610"/>
    </row>
    <row r="21" spans="1:17" s="512" customFormat="1" ht="15.75" customHeight="1" x14ac:dyDescent="0.25">
      <c r="A21" s="610"/>
      <c r="B21" s="296"/>
      <c r="C21" s="591" t="s">
        <v>711</v>
      </c>
      <c r="D21" s="304"/>
      <c r="E21" s="304"/>
      <c r="F21" s="304"/>
      <c r="G21" s="304"/>
      <c r="H21" s="304"/>
      <c r="I21" s="304"/>
      <c r="J21" s="167"/>
      <c r="K21" s="610"/>
    </row>
    <row r="22" spans="1:17" s="512" customFormat="1" x14ac:dyDescent="0.25">
      <c r="A22" s="610"/>
      <c r="B22" s="296"/>
      <c r="C22" s="317" t="s">
        <v>203</v>
      </c>
      <c r="D22" s="132">
        <f>D8*((0.5*D13*(1-0.5)^2*(1-0.55))/(1-MIN(1, (D10/(1800*D9)))*0.5))/60</f>
        <v>0.49591836734693867</v>
      </c>
      <c r="E22" s="132">
        <f t="shared" ref="E22:I22" si="4">E8*((0.5*E13*(1-0.5)^2*(1-0.55))/(1-MIN(1, (E10/(1800*E9)))*0.5))/60</f>
        <v>0.49591836734693867</v>
      </c>
      <c r="F22" s="132">
        <f t="shared" si="4"/>
        <v>0.49591836734693867</v>
      </c>
      <c r="G22" s="132">
        <f t="shared" si="4"/>
        <v>0.49591836734693867</v>
      </c>
      <c r="H22" s="132">
        <f t="shared" si="4"/>
        <v>0.49591836734693867</v>
      </c>
      <c r="I22" s="132">
        <f t="shared" si="4"/>
        <v>0.49591836734693867</v>
      </c>
      <c r="J22"/>
      <c r="K22" s="610"/>
    </row>
    <row r="23" spans="1:17" s="512" customFormat="1" x14ac:dyDescent="0.25">
      <c r="A23" s="610"/>
      <c r="B23" s="296"/>
      <c r="C23" s="338" t="s">
        <v>204</v>
      </c>
      <c r="D23" s="7"/>
      <c r="E23" s="133">
        <f>E12-E22</f>
        <v>8.5040816326530617</v>
      </c>
      <c r="F23" s="133">
        <f>F12-F22</f>
        <v>8.5040816326530617</v>
      </c>
      <c r="G23" s="7"/>
      <c r="H23" s="133">
        <f>H12-H22</f>
        <v>8.5040816326530617</v>
      </c>
      <c r="I23" s="133">
        <f>I12-I22</f>
        <v>8.5040816326530617</v>
      </c>
      <c r="J23" s="167"/>
      <c r="K23" s="610"/>
    </row>
    <row r="24" spans="1:17" s="512" customFormat="1" x14ac:dyDescent="0.25">
      <c r="A24" s="610"/>
      <c r="B24" s="296"/>
      <c r="C24" s="359" t="s">
        <v>564</v>
      </c>
      <c r="D24" s="24">
        <f t="shared" ref="D24:H24" si="5" xml:space="preserve"> (1-D11)*D7*D10</f>
        <v>3880</v>
      </c>
      <c r="E24" s="24">
        <f t="shared" si="5"/>
        <v>3880</v>
      </c>
      <c r="F24" s="24">
        <f t="shared" si="5"/>
        <v>3880</v>
      </c>
      <c r="G24" s="24">
        <f t="shared" si="5"/>
        <v>3880</v>
      </c>
      <c r="H24" s="24">
        <f t="shared" si="5"/>
        <v>3880</v>
      </c>
      <c r="I24" s="24">
        <f xml:space="preserve"> (1-I11)*I7*I10</f>
        <v>3880</v>
      </c>
      <c r="J24" s="167"/>
      <c r="K24" s="610"/>
    </row>
    <row r="25" spans="1:17" s="512" customFormat="1" x14ac:dyDescent="0.25">
      <c r="A25" s="610"/>
      <c r="B25" s="296"/>
      <c r="C25" s="359" t="s">
        <v>565</v>
      </c>
      <c r="D25" s="24">
        <f t="shared" ref="D25:I25" si="6">D7*D11*D10</f>
        <v>120</v>
      </c>
      <c r="E25" s="24">
        <f t="shared" si="6"/>
        <v>120</v>
      </c>
      <c r="F25" s="24">
        <f t="shared" si="6"/>
        <v>120</v>
      </c>
      <c r="G25" s="24">
        <f t="shared" si="6"/>
        <v>120</v>
      </c>
      <c r="H25" s="24">
        <f t="shared" si="6"/>
        <v>120</v>
      </c>
      <c r="I25" s="24">
        <f t="shared" si="6"/>
        <v>120</v>
      </c>
      <c r="J25" s="167"/>
      <c r="K25" s="610"/>
    </row>
    <row r="26" spans="1:17" x14ac:dyDescent="0.25">
      <c r="A26" s="610"/>
      <c r="B26" s="296"/>
      <c r="C26" s="359" t="s">
        <v>205</v>
      </c>
      <c r="D26" s="7"/>
      <c r="E26" s="134">
        <f>(E7/E12)*60</f>
        <v>26.666666666666664</v>
      </c>
      <c r="F26" s="134">
        <f>(F7/F12)*60</f>
        <v>26.666666666666664</v>
      </c>
      <c r="G26" s="7"/>
      <c r="H26" s="134">
        <f>(H7/H12)*60</f>
        <v>26.666666666666664</v>
      </c>
      <c r="I26" s="134">
        <f>(I7/I12)*60</f>
        <v>26.666666666666664</v>
      </c>
      <c r="J26" s="167"/>
      <c r="K26" s="610"/>
    </row>
    <row r="27" spans="1:17" x14ac:dyDescent="0.25">
      <c r="A27" s="610"/>
      <c r="B27" s="302"/>
      <c r="C27" s="359" t="s">
        <v>206</v>
      </c>
      <c r="D27"/>
      <c r="E27" s="134">
        <f>(E7/E23)*60</f>
        <v>28.221742260619148</v>
      </c>
      <c r="F27" s="134">
        <f>(F7/F23)*60</f>
        <v>28.221742260619148</v>
      </c>
      <c r="G27"/>
      <c r="H27" s="134">
        <f>(H7/H23)*60</f>
        <v>28.221742260619148</v>
      </c>
      <c r="I27" s="134">
        <f>(I7/I23)*60</f>
        <v>28.221742260619148</v>
      </c>
      <c r="J27" s="167"/>
      <c r="K27" s="610"/>
    </row>
    <row r="28" spans="1:17" x14ac:dyDescent="0.25">
      <c r="A28" s="610"/>
      <c r="B28" s="302"/>
      <c r="C28" s="359" t="s">
        <v>124</v>
      </c>
      <c r="D28" s="134">
        <f t="shared" ref="D28:I28" si="7">(D22/60)*D10*D17*D18</f>
        <v>8265.3061224489775</v>
      </c>
      <c r="E28" s="134">
        <f t="shared" si="7"/>
        <v>8265.3061224489775</v>
      </c>
      <c r="F28" s="134">
        <f>(F22/60)*F10*F17*F18</f>
        <v>8265.3061224489775</v>
      </c>
      <c r="G28" s="134">
        <f t="shared" si="7"/>
        <v>8265.3061224489775</v>
      </c>
      <c r="H28" s="134">
        <f t="shared" si="7"/>
        <v>8265.3061224489775</v>
      </c>
      <c r="I28" s="134">
        <f t="shared" si="7"/>
        <v>8265.3061224489775</v>
      </c>
      <c r="J28" s="167"/>
      <c r="K28" s="610"/>
    </row>
    <row r="29" spans="1:17" x14ac:dyDescent="0.25">
      <c r="A29" s="610"/>
      <c r="B29" s="302"/>
      <c r="C29" s="29"/>
      <c r="D29" s="303"/>
      <c r="E29" s="469"/>
      <c r="F29" s="469"/>
      <c r="G29" s="303"/>
      <c r="H29" s="469"/>
      <c r="I29" s="469"/>
      <c r="J29" s="167"/>
      <c r="K29" s="610"/>
    </row>
    <row r="30" spans="1:17" ht="15.75" customHeight="1" x14ac:dyDescent="0.25">
      <c r="A30" s="610"/>
      <c r="B30" s="302"/>
      <c r="C30" s="558" t="s">
        <v>835</v>
      </c>
      <c r="D30" s="583"/>
      <c r="E30" s="583"/>
      <c r="F30" s="583"/>
      <c r="G30" s="583" t="s">
        <v>702</v>
      </c>
      <c r="H30" s="583"/>
      <c r="I30" s="583"/>
      <c r="J30" s="167"/>
      <c r="K30" s="610"/>
    </row>
    <row r="31" spans="1:17" ht="15.75" customHeight="1" x14ac:dyDescent="0.25">
      <c r="A31" s="610"/>
      <c r="B31" s="302"/>
      <c r="C31" s="591" t="s">
        <v>402</v>
      </c>
      <c r="D31" s="11"/>
      <c r="E31" s="11"/>
      <c r="F31" s="596" t="s">
        <v>559</v>
      </c>
      <c r="G31" s="596"/>
      <c r="H31" s="596"/>
      <c r="I31" s="596" t="s">
        <v>560</v>
      </c>
      <c r="J31" s="167"/>
      <c r="K31" s="610"/>
    </row>
    <row r="32" spans="1:17" x14ac:dyDescent="0.25">
      <c r="A32" s="610"/>
      <c r="B32" s="302"/>
      <c r="C32" s="359" t="s">
        <v>348</v>
      </c>
      <c r="D32" s="212">
        <f>LOOKUP(ROUNDDOWN(F$26/5, 0)*5,'2010ER'!$D$4:$D$19,'2010ER'!$H$4:$H$19)+((F$26-ROUNDDOWN(F$26/5, 0)*5)/5)*(LOOKUP(ROUNDUP(F$26/5, 0)*5,'2010ER'!$D$4:$D$19,'2010ER'!$H$4:$H$19)-LOOKUP(ROUNDDOWN(F$26/5, 0)*5,'2010ER'!$D$4:$D$19,'2010ER'!$H$4:$H$19))</f>
        <v>450.54275493565541</v>
      </c>
      <c r="E32" s="212">
        <f>LOOKUP(ROUNDDOWN(E$26/5, 0)*5,'2020ER'!$D$4:$D$19,'2020ER'!$H$4:$H$19)+((E$26-ROUNDDOWN(E$26/5, 0)*5)/5)*(LOOKUP(ROUNDUP(E$26/5, 0)*5,'2020ER'!$D$4:$D$19,'2020ER'!$H$4:$H$19)-LOOKUP(ROUNDDOWN(E$26/5, 0)*5,'2020ER'!$D$4:$D$19,'2020ER'!$H$4:$H$19))</f>
        <v>384.41434815157572</v>
      </c>
      <c r="F32" s="212">
        <f t="shared" ref="F32:F41" si="8">TREND(D32:E32, D$6:E$6, F$6)</f>
        <v>443.92991425724722</v>
      </c>
      <c r="G32" s="212">
        <f>LOOKUP(ROUNDDOWN(I$26/5, 0)*5,'2010ER'!$D$4:$D$19,'2010ER'!$H$4:$H$19)+((I$26-ROUNDDOWN(I$26/5, 0)*5)/5)*(LOOKUP(ROUNDUP(I$26/5, 0)*5,'2010ER'!$D$4:$D$19,'2010ER'!$H$4:$H$19)-LOOKUP(ROUNDDOWN(I$26/5, 0)*5,'2010ER'!$D$4:$D$19,'2010ER'!$H$4:$H$19))</f>
        <v>450.54275493565541</v>
      </c>
      <c r="H32" s="212">
        <f>LOOKUP(ROUNDDOWN(H$26/5, 0)*5,'2020ER'!$D$4:$D$19,'2020ER'!$H$4:$H$19)+((H$26-ROUNDDOWN(H$26/5, 0)*5)/5)*(LOOKUP(ROUNDUP(H$26/5, 0)*5,'2020ER'!$D$4:$D$19,'2020ER'!$H$4:$H$19)-LOOKUP(ROUNDDOWN(H$26/5, 0)*5,'2020ER'!$D$4:$D$19,'2020ER'!$H$4:$H$19))</f>
        <v>384.41434815157572</v>
      </c>
      <c r="I32" s="212">
        <f t="shared" ref="I32:I41" si="9">TREND(G32:H32, G$6:H$6, I$6)</f>
        <v>443.92991425724722</v>
      </c>
      <c r="J32" s="190"/>
      <c r="K32" s="610"/>
    </row>
    <row r="33" spans="1:11" x14ac:dyDescent="0.25">
      <c r="A33" s="610"/>
      <c r="B33" s="302"/>
      <c r="C33" s="359" t="s">
        <v>351</v>
      </c>
      <c r="D33" s="212">
        <f>LOOKUP(ROUNDDOWN(F$26/5, 0)*5,'2010ER'!$D$20:$D$35,'2010ER'!$H$20:$H$35)+((F$26-ROUNDDOWN(F$26/5, 0)*5)/5)*(LOOKUP(ROUNDUP(F$26/5, 0)*5,'2010ER'!$D$20:$D$35,'2010ER'!$H$20:$H$35)-LOOKUP(ROUNDDOWN(F$26/5, 0)*5,'2010ER'!$D$20:$D$35,'2010ER'!$H$20:$H$35))</f>
        <v>0.72861864344256422</v>
      </c>
      <c r="E33" s="212">
        <f>LOOKUP(ROUNDDOWN(E$26/5, 0)*5,'2020ER'!$D$20:$D$35,'2020ER'!$H$20:$H$35)+((E$26-ROUNDDOWN(E$26/5, 0)*5)/5)*(LOOKUP(ROUNDUP(E$26/5, 0)*5,'2020ER'!$D$20:$D$35,'2020ER'!$H$20:$H$35)-LOOKUP(ROUNDDOWN(E$26/5, 0)*5,'2020ER'!$D$20:$D$35,'2020ER'!$H$20:$H$35))</f>
        <v>0.22702931067715032</v>
      </c>
      <c r="F33" s="212">
        <f t="shared" si="8"/>
        <v>0.67845971016602391</v>
      </c>
      <c r="G33" s="212">
        <f>LOOKUP(ROUNDDOWN(I$26/5, 0)*5,'2010ER'!$D$20:$D$35,'2010ER'!$H$20:$H$35)+((I$26-ROUNDDOWN(I$26/5, 0)*5)/5)*(LOOKUP(ROUNDUP(I$26/5, 0)*5,'2010ER'!$D$20:$D$35,'2010ER'!$H$20:$H$35)-LOOKUP(ROUNDDOWN(I$26/5, 0)*5,'2010ER'!$D$20:$D$35,'2010ER'!$H$20:$H$35))</f>
        <v>0.72861864344256422</v>
      </c>
      <c r="H33" s="212">
        <f>LOOKUP(ROUNDDOWN(H$26/5, 0)*5,'2020ER'!$D$20:$D$35,'2020ER'!$H$20:$H$35)+((H$26-ROUNDDOWN(H$26/5, 0)*5)/5)*(LOOKUP(ROUNDUP(H$26/5, 0)*5,'2020ER'!$D$20:$D$35,'2020ER'!$H$20:$H$35)-LOOKUP(ROUNDDOWN(H$26/5, 0)*5,'2020ER'!$D$20:$D$35,'2020ER'!$H$20:$H$35))</f>
        <v>0.22702931067715032</v>
      </c>
      <c r="I33" s="212">
        <f t="shared" si="9"/>
        <v>0.67845971016602391</v>
      </c>
      <c r="J33" s="211"/>
      <c r="K33" s="610"/>
    </row>
    <row r="34" spans="1:11" x14ac:dyDescent="0.25">
      <c r="A34" s="610"/>
      <c r="B34" s="302"/>
      <c r="C34" s="359" t="s">
        <v>377</v>
      </c>
      <c r="D34" s="212">
        <f>LOOKUP(ROUNDDOWN(F$26/5, 0)*5,'2010ER'!$D$36:$D$51,'2010ER'!$H$36:$H$51)+((F$26-ROUNDDOWN(F$26/5, 0)*5)/5)*(LOOKUP(ROUNDUP(F$26/5, 0)*5,'2010ER'!$D$36:$D$51,'2010ER'!$H$36:$H$51)-LOOKUP(ROUNDDOWN(F$26/5, 0)*5,'2010ER'!$D$36:$D$51,'2010ER'!$H$36:$H$51))</f>
        <v>2.2842922954153341E-2</v>
      </c>
      <c r="E34" s="212">
        <f>LOOKUP(ROUNDDOWN(E$26/5, 0)*5,'2020ER'!$D$36:$D$51,'2020ER'!$H$36:$H$51)+((E$26-ROUNDDOWN(E$26/5, 0)*5)/5)*(LOOKUP(ROUNDUP(E$26/5, 0)*5,'2020ER'!$D$36:$D$51,'2020ER'!$H$36:$H$51)-LOOKUP(ROUNDDOWN(E$26/5, 0)*5,'2020ER'!$D$36:$D$51,'2020ER'!$H$36:$H$51))</f>
        <v>1.6395659870821783E-2</v>
      </c>
      <c r="F34" s="212">
        <f t="shared" si="8"/>
        <v>2.2198196645820234E-2</v>
      </c>
      <c r="G34" s="212">
        <f>LOOKUP(ROUNDDOWN(I$26/5, 0)*5,'2010ER'!$D$36:$D$51,'2010ER'!$H$36:$H$51)+((I$26-ROUNDDOWN(I$26/5, 0)*5)/5)*(LOOKUP(ROUNDUP(I$26/5, 0)*5,'2010ER'!$D$36:$D$51,'2010ER'!$H$36:$H$51)-LOOKUP(ROUNDDOWN(I$26/5, 0)*5,'2010ER'!$D$36:$D$51,'2010ER'!$H$36:$H$51))</f>
        <v>2.2842922954153341E-2</v>
      </c>
      <c r="H34" s="212">
        <f>LOOKUP(ROUNDDOWN(H$26/5, 0)*5,'2020ER'!$D$36:$D$51,'2020ER'!$H$36:$H$51)+((H$26-ROUNDDOWN(H$26/5, 0)*5)/5)*(LOOKUP(ROUNDUP(H$26/5, 0)*5,'2020ER'!$D$36:$D$51,'2020ER'!$H$36:$H$51)-LOOKUP(ROUNDDOWN(H$26/5, 0)*5,'2020ER'!$D$36:$D$51,'2020ER'!$H$36:$H$51))</f>
        <v>1.6395659870821783E-2</v>
      </c>
      <c r="I34" s="212">
        <f t="shared" si="9"/>
        <v>2.2198196645820234E-2</v>
      </c>
      <c r="J34" s="167"/>
      <c r="K34" s="610"/>
    </row>
    <row r="35" spans="1:11" x14ac:dyDescent="0.25">
      <c r="A35" s="610"/>
      <c r="B35" s="302"/>
      <c r="C35" s="359" t="s">
        <v>426</v>
      </c>
      <c r="D35" s="212">
        <f>LOOKUP(ROUNDDOWN(F$26/5, 0)*5,'2010ER'!$D$52:$D$67,'2010ER'!$H$52:$H$67)+((F$26-ROUNDDOWN(F$26/5, 0)*5)/5)*(LOOKUP(ROUNDUP(F$26/5, 0)*5,'2010ER'!$D$52:$D$67,'2010ER'!$H$52:$H$67)-LOOKUP(ROUNDDOWN(F$26/5, 0)*5,'2010ER'!$D$52:$D$67,'2010ER'!$H$52:$H$67))</f>
        <v>0.76567762250940874</v>
      </c>
      <c r="E35" s="212">
        <f>LOOKUP(ROUNDDOWN(E$26/5, 0)*5,'2020ER'!$D$52:$D$67,'2020ER'!$H$52:$H$67)+((E$26-ROUNDDOWN(E$26/5, 0)*5)/5)*(LOOKUP(ROUNDUP(E$26/5, 0)*5,'2020ER'!$D$52:$D$67,'2020ER'!$H$52:$H$67)-LOOKUP(ROUNDDOWN(E$26/5, 0)*5,'2020ER'!$D$52:$D$67,'2020ER'!$H$52:$H$67))</f>
        <v>0.24255816207320102</v>
      </c>
      <c r="F35" s="212">
        <f t="shared" si="8"/>
        <v>0.71336567646579851</v>
      </c>
      <c r="G35" s="212">
        <f>LOOKUP(ROUNDDOWN(I$26/5, 0)*5,'2010ER'!$D$52:$D$67,'2010ER'!$H$52:$H$67)+((I$26-ROUNDDOWN(I$26/5, 0)*5)/5)*(LOOKUP(ROUNDUP(I$26/5, 0)*5,'2010ER'!$D$52:$D$67,'2010ER'!$H$52:$H$67)-LOOKUP(ROUNDDOWN(I$26/5, 0)*5,'2010ER'!$D$52:$D$67,'2010ER'!$H$52:$H$67))</f>
        <v>0.76567762250940874</v>
      </c>
      <c r="H35" s="212">
        <f>LOOKUP(ROUNDDOWN(H$26/5, 0)*5,'2020ER'!$D$52:$D$67,'2020ER'!$H$52:$H$67)+((H$26-ROUNDDOWN(H$26/5, 0)*5)/5)*(LOOKUP(ROUNDUP(H$26/5, 0)*5,'2020ER'!$D$52:$D$67,'2020ER'!$H$52:$H$67)-LOOKUP(ROUNDDOWN(H$26/5, 0)*5,'2020ER'!$D$52:$D$67,'2020ER'!$H$52:$H$67))</f>
        <v>0.24255816207320102</v>
      </c>
      <c r="I35" s="212">
        <f t="shared" si="9"/>
        <v>0.71336567646579851</v>
      </c>
      <c r="J35" s="167"/>
      <c r="K35" s="610"/>
    </row>
    <row r="36" spans="1:11" x14ac:dyDescent="0.25">
      <c r="A36" s="610"/>
      <c r="B36" s="302"/>
      <c r="C36" s="359" t="s">
        <v>424</v>
      </c>
      <c r="D36" s="212">
        <f>LOOKUP(ROUNDDOWN(F$26/5, 0)*5,'2010ER'!$D$68:$D$83,'2010ER'!$H$68:$H$83)+((F$26-ROUNDDOWN(F$26/5, 0)*5)/5)*(LOOKUP(ROUNDUP(F$26/5, 0)*5,'2010ER'!$D$68:$D$83,'2010ER'!$H$68:$H$83)-LOOKUP(ROUNDDOWN(F$26/5, 0)*5,'2010ER'!$D$68:$D$83,'2010ER'!$H$68:$H$83))</f>
        <v>0.30453755707860314</v>
      </c>
      <c r="E36" s="212">
        <f>LOOKUP(ROUNDDOWN(E$26/5, 0)*5,'2020ER'!$D$68:$D$83,'2020ER'!$H$68:$H$83)+((E$26-ROUNDDOWN(E$26/5, 0)*5)/5)*(LOOKUP(ROUNDUP(E$26/5, 0)*5,'2020ER'!$D$68:$D$83,'2020ER'!$H$68:$H$83)-LOOKUP(ROUNDDOWN(E$26/5, 0)*5,'2020ER'!$D$68:$D$83,'2020ER'!$H$68:$H$83))</f>
        <v>9.6453760653414322E-2</v>
      </c>
      <c r="F36" s="212">
        <f t="shared" si="8"/>
        <v>0.28372917743608639</v>
      </c>
      <c r="G36" s="212">
        <f>LOOKUP(ROUNDDOWN(I$26/5, 0)*5,'2010ER'!$D$68:$D$83,'2010ER'!$H$68:$H$83)+((I$26-ROUNDDOWN(I$26/5, 0)*5)/5)*(LOOKUP(ROUNDUP(I$26/5, 0)*5,'2010ER'!$D$68:$D$83,'2010ER'!$H$68:$H$83)-LOOKUP(ROUNDDOWN(I$26/5, 0)*5,'2010ER'!$D$68:$D$83,'2010ER'!$H$68:$H$83))</f>
        <v>0.30453755707860314</v>
      </c>
      <c r="H36" s="212">
        <f>LOOKUP(ROUNDDOWN(H$26/5, 0)*5,'2020ER'!$D$68:$D$83,'2020ER'!$H$68:$H$83)+((H$26-ROUNDDOWN(H$26/5, 0)*5)/5)*(LOOKUP(ROUNDUP(H$26/5, 0)*5,'2020ER'!$D$68:$D$83,'2020ER'!$H$68:$H$83)-LOOKUP(ROUNDDOWN(H$26/5, 0)*5,'2020ER'!$D$68:$D$83,'2020ER'!$H$68:$H$83))</f>
        <v>9.6453760653414322E-2</v>
      </c>
      <c r="I36" s="212">
        <f t="shared" si="9"/>
        <v>0.28372917743608639</v>
      </c>
      <c r="J36" s="167"/>
      <c r="K36" s="610"/>
    </row>
    <row r="37" spans="1:11" x14ac:dyDescent="0.25">
      <c r="A37" s="610"/>
      <c r="B37" s="302"/>
      <c r="C37" s="359" t="s">
        <v>403</v>
      </c>
      <c r="D37" s="212">
        <f>LOOKUP(ROUNDDOWN(F$26/5, 0)*5,'2010ER'!$D$4:$D$19,'2010ER'!$R$4:$R$19)+((F$26-ROUNDDOWN(F$26/5, 0)*5)/5)*(LOOKUP(ROUNDUP(F$26/5, 0)*5,'2010ER'!$D$4:$D$19,'2010ER'!$R$4:$R$19)-LOOKUP(ROUNDDOWN(F$26/5, 0)*5,'2010ER'!$D$4:$D$19,'2010ER'!$R$4:$R$19))</f>
        <v>1893.3141081897461</v>
      </c>
      <c r="E37" s="212">
        <f>LOOKUP(ROUNDDOWN(E$26/5, 0)*5,'2020ER'!$D$4:$D$19,'2020ER'!$R$4:$R$19)+((E$26-ROUNDDOWN(E$26/5, 0)*5)/5)*(LOOKUP(ROUNDUP(E$26/5, 0)*5,'2020ER'!$D$4:$D$19,'2020ER'!$R$4:$R$19)-LOOKUP(ROUNDDOWN(E$26/5, 0)*5,'2020ER'!$D$4:$D$19,'2020ER'!$R$4:$R$19))</f>
        <v>1887.6639302115389</v>
      </c>
      <c r="F37" s="212">
        <f t="shared" si="8"/>
        <v>1892.7490903919254</v>
      </c>
      <c r="G37" s="212">
        <f>LOOKUP(ROUNDDOWN(I$26/5, 0)*5,'2010ER'!$D$4:$D$19,'2010ER'!$R$4:$R$19)+((I$26-ROUNDDOWN(I$26/5, 0)*5)/5)*(LOOKUP(ROUNDUP(I$26/5, 0)*5,'2010ER'!$D$4:$D$19,'2010ER'!$R$4:$R$19)-LOOKUP(ROUNDDOWN(I$26/5, 0)*5,'2010ER'!$D$4:$D$19,'2010ER'!$R$4:$R$19))</f>
        <v>1893.3141081897461</v>
      </c>
      <c r="H37" s="212">
        <f>LOOKUP(ROUNDDOWN(H$26/5, 0)*5,'2020ER'!$D$4:$D$19,'2020ER'!$R$4:$R$19)+((H$26-ROUNDDOWN(H$26/5, 0)*5)/5)*(LOOKUP(ROUNDUP(H$26/5, 0)*5,'2020ER'!$D$4:$D$19,'2020ER'!$R$4:$R$19)-LOOKUP(ROUNDDOWN(H$26/5, 0)*5,'2020ER'!$D$4:$D$19,'2020ER'!$R$4:$R$19))</f>
        <v>1887.6639302115389</v>
      </c>
      <c r="I37" s="212">
        <f t="shared" si="9"/>
        <v>1892.7490903919254</v>
      </c>
      <c r="J37" s="190"/>
      <c r="K37" s="610"/>
    </row>
    <row r="38" spans="1:11" x14ac:dyDescent="0.25">
      <c r="A38" s="610"/>
      <c r="B38" s="302"/>
      <c r="C38" s="359" t="s">
        <v>405</v>
      </c>
      <c r="D38" s="212">
        <f>LOOKUP(ROUNDDOWN(F$26/5, 0)*5,'2010ER'!$D$20:$D$35,'2010ER'!$R$20:$R$35)+((F$26-ROUNDDOWN(F$26/5, 0)*5)/5)*(LOOKUP(ROUNDUP(F$26/5, 0)*5,'2010ER'!$D$20:$D$35,'2010ER'!$R$20:$R$35)-LOOKUP(ROUNDDOWN(F$26/5, 0)*5,'2010ER'!$D$20:$D$35,'2010ER'!$R$20:$R$35))</f>
        <v>9.8277595647889662</v>
      </c>
      <c r="E38" s="212">
        <f>LOOKUP(ROUNDDOWN(E$26/5, 0)*5,'2020ER'!$D$20:$D$35,'2020ER'!$R$20:$R$35)+((E$26-ROUNDDOWN(E$26/5, 0)*5)/5)*(LOOKUP(ROUNDUP(E$26/5, 0)*5,'2020ER'!$D$20:$D$35,'2020ER'!$R$20:$R$35)-LOOKUP(ROUNDDOWN(E$26/5, 0)*5,'2020ER'!$D$20:$D$35,'2020ER'!$R$20:$R$35))</f>
        <v>2.8056671353263165</v>
      </c>
      <c r="F38" s="212">
        <f t="shared" si="8"/>
        <v>9.1255503218428657</v>
      </c>
      <c r="G38" s="212">
        <f>LOOKUP(ROUNDDOWN(I$26/5, 0)*5,'2010ER'!$D$20:$D$35,'2010ER'!$R$20:$R$35)+((I$26-ROUNDDOWN(I$26/5, 0)*5)/5)*(LOOKUP(ROUNDUP(I$26/5, 0)*5,'2010ER'!$D$20:$D$35,'2010ER'!$R$20:$R$35)-LOOKUP(ROUNDDOWN(I$26/5, 0)*5,'2010ER'!$D$20:$D$35,'2010ER'!$R$20:$R$35))</f>
        <v>9.8277595647889662</v>
      </c>
      <c r="H38" s="212">
        <f>LOOKUP(ROUNDDOWN(H$26/5, 0)*5,'2020ER'!$D$20:$D$35,'2020ER'!$R$20:$R$35)+((H$26-ROUNDDOWN(H$26/5, 0)*5)/5)*(LOOKUP(ROUNDUP(H$26/5, 0)*5,'2020ER'!$D$20:$D$35,'2020ER'!$R$20:$R$35)-LOOKUP(ROUNDDOWN(H$26/5, 0)*5,'2020ER'!$D$20:$D$35,'2020ER'!$R$20:$R$35))</f>
        <v>2.8056671353263165</v>
      </c>
      <c r="I38" s="212">
        <f t="shared" si="9"/>
        <v>9.1255503218428657</v>
      </c>
      <c r="J38" s="167"/>
      <c r="K38" s="610"/>
    </row>
    <row r="39" spans="1:11" x14ac:dyDescent="0.25">
      <c r="A39" s="610"/>
      <c r="B39" s="302"/>
      <c r="C39" s="359" t="s">
        <v>404</v>
      </c>
      <c r="D39" s="212">
        <f>LOOKUP(ROUNDDOWN(F$26/5, 0)*5,'2010ER'!$D$36:$D$51,'2010ER'!$R$36:$R$51)+((F$26-ROUNDDOWN(F$26/5, 0)*5)/5)*(LOOKUP(ROUNDUP(F$26/5, 0)*5,'2010ER'!$D$36:$D$51,'2010ER'!$R$36:$R$51)-LOOKUP(ROUNDDOWN(F$26/5, 0)*5,'2010ER'!$D$36:$D$51,'2010ER'!$R$36:$R$51))</f>
        <v>0.58761760132534857</v>
      </c>
      <c r="E39" s="212">
        <f>LOOKUP(ROUNDDOWN(E$26/5, 0)*5,'2020ER'!$D$36:$D$51,'2020ER'!$R$36:$R$51)+((E$26-ROUNDDOWN(E$26/5, 0)*5)/5)*(LOOKUP(ROUNDUP(E$26/5, 0)*5,'2020ER'!$D$36:$D$51,'2020ER'!$R$36:$R$51)-LOOKUP(ROUNDDOWN(E$26/5, 0)*5,'2020ER'!$D$36:$D$51,'2020ER'!$R$36:$R$51))</f>
        <v>0.14178752889140289</v>
      </c>
      <c r="F39" s="212">
        <f t="shared" si="8"/>
        <v>0.5430345940819592</v>
      </c>
      <c r="G39" s="212">
        <f>LOOKUP(ROUNDDOWN(I$26/5, 0)*5,'2010ER'!$D$36:$D$51,'2010ER'!$R$36:$R$51)+((I$26-ROUNDDOWN(I$26/5, 0)*5)/5)*(LOOKUP(ROUNDUP(I$26/5, 0)*5,'2010ER'!$D$36:$D$51,'2010ER'!$R$36:$R$51)-LOOKUP(ROUNDDOWN(I$26/5, 0)*5,'2010ER'!$D$36:$D$51,'2010ER'!$R$36:$R$51))</f>
        <v>0.58761760132534857</v>
      </c>
      <c r="H39" s="212">
        <f>LOOKUP(ROUNDDOWN(H$26/5, 0)*5,'2020ER'!$D$36:$D$51,'2020ER'!$R$36:$R$51)+((H$26-ROUNDDOWN(H$26/5, 0)*5)/5)*(LOOKUP(ROUNDUP(H$26/5, 0)*5,'2020ER'!$D$36:$D$51,'2020ER'!$R$36:$R$51)-LOOKUP(ROUNDDOWN(H$26/5, 0)*5,'2020ER'!$D$36:$D$51,'2020ER'!$R$36:$R$51))</f>
        <v>0.14178752889140289</v>
      </c>
      <c r="I39" s="212">
        <f t="shared" si="9"/>
        <v>0.5430345940819592</v>
      </c>
      <c r="J39" s="167"/>
      <c r="K39" s="610"/>
    </row>
    <row r="40" spans="1:11" x14ac:dyDescent="0.25">
      <c r="A40" s="610"/>
      <c r="B40" s="302"/>
      <c r="C40" s="359" t="s">
        <v>427</v>
      </c>
      <c r="D40" s="212">
        <f>LOOKUP(ROUNDDOWN(F$26/5, 0)*5,'2010ER'!$D$52:$D$67,'2010ER'!$R$52:$R$67)+((F$26-ROUNDDOWN(F$26/5, 0)*5)/5)*(LOOKUP(ROUNDUP(F$26/5, 0)*5,'2010ER'!$D$52:$D$67,'2010ER'!$R$52:$R$67)-LOOKUP(ROUNDDOWN(F$26/5, 0)*5,'2010ER'!$D$52:$D$67,'2010ER'!$R$52:$R$67))</f>
        <v>8.5567108701072421</v>
      </c>
      <c r="E40" s="212">
        <f>LOOKUP(ROUNDDOWN(E$26/5, 0)*5,'2020ER'!$D$52:$D$67,'2020ER'!$R$52:$R$67)+((E$26-ROUNDDOWN(E$26/5, 0)*5)/5)*(LOOKUP(ROUNDUP(E$26/5, 0)*5,'2020ER'!$D$52:$D$67,'2020ER'!$R$52:$R$67)-LOOKUP(ROUNDDOWN(E$26/5, 0)*5,'2020ER'!$D$52:$D$67,'2020ER'!$R$52:$R$67))</f>
        <v>2.4275791184433371</v>
      </c>
      <c r="F40" s="212">
        <f t="shared" si="8"/>
        <v>7.9437976949409403</v>
      </c>
      <c r="G40" s="212">
        <f>LOOKUP(ROUNDDOWN(I$26/5, 0)*5,'2010ER'!$D$52:$D$67,'2010ER'!$R$52:$R$67)+((I$26-ROUNDDOWN(I$26/5, 0)*5)/5)*(LOOKUP(ROUNDUP(I$26/5, 0)*5,'2010ER'!$D$52:$D$67,'2010ER'!$R$52:$R$67)-LOOKUP(ROUNDDOWN(I$26/5, 0)*5,'2010ER'!$D$52:$D$67,'2010ER'!$R$52:$R$67))</f>
        <v>8.5567108701072421</v>
      </c>
      <c r="H40" s="212">
        <f>LOOKUP(ROUNDDOWN(H$26/5, 0)*5,'2020ER'!$D$52:$D$67,'2020ER'!$R$52:$R$67)+((H$26-ROUNDDOWN(H$26/5, 0)*5)/5)*(LOOKUP(ROUNDUP(H$26/5, 0)*5,'2020ER'!$D$52:$D$67,'2020ER'!$R$52:$R$67)-LOOKUP(ROUNDDOWN(H$26/5, 0)*5,'2020ER'!$D$52:$D$67,'2020ER'!$R$52:$R$67))</f>
        <v>2.4275791184433371</v>
      </c>
      <c r="I40" s="212">
        <f t="shared" si="9"/>
        <v>7.9437976949409403</v>
      </c>
      <c r="J40" s="167"/>
      <c r="K40" s="610"/>
    </row>
    <row r="41" spans="1:11" x14ac:dyDescent="0.25">
      <c r="A41" s="610"/>
      <c r="B41" s="302"/>
      <c r="C41" s="359" t="s">
        <v>425</v>
      </c>
      <c r="D41" s="212">
        <f>LOOKUP(ROUNDDOWN(F$26/5, 0)*5,'2010ER'!$D$68:$D$83,'2010ER'!$R$68:$R$83)+((F$26-ROUNDDOWN(F$26/5, 0)*5)/5)*(LOOKUP(ROUNDUP(F$26/5, 0)*5,'2010ER'!$D$68:$D$83,'2010ER'!$R$68:$R$83)-LOOKUP(ROUNDDOWN(F$26/5, 0)*5,'2010ER'!$D$68:$D$83,'2010ER'!$R$68:$R$83))</f>
        <v>0.76987998045705552</v>
      </c>
      <c r="E41" s="212">
        <f>LOOKUP(ROUNDDOWN(E$26/5, 0)*5,'2020ER'!$D$68:$D$83,'2020ER'!$R$68:$R$83)+((E$26-ROUNDDOWN(E$26/5, 0)*5)/5)*(LOOKUP(ROUNDUP(E$26/5, 0)*5,'2020ER'!$D$68:$D$83,'2020ER'!$R$68:$R$83)-LOOKUP(ROUNDDOWN(E$26/5, 0)*5,'2020ER'!$D$68:$D$83,'2020ER'!$R$68:$R$83))</f>
        <v>0.3097579475469262</v>
      </c>
      <c r="F41" s="212">
        <f t="shared" si="8"/>
        <v>0.7238677771660349</v>
      </c>
      <c r="G41" s="212">
        <f>LOOKUP(ROUNDDOWN(I$26/5, 0)*5,'2010ER'!$D$68:$D$83,'2010ER'!$R$68:$R$83)+((I$26-ROUNDDOWN(I$26/5, 0)*5)/5)*(LOOKUP(ROUNDUP(I$26/5, 0)*5,'2010ER'!$D$68:$D$83,'2010ER'!$R$68:$R$83)-LOOKUP(ROUNDDOWN(I$26/5, 0)*5,'2010ER'!$D$68:$D$83,'2010ER'!$R$68:$R$83))</f>
        <v>0.76987998045705552</v>
      </c>
      <c r="H41" s="212">
        <f>LOOKUP(ROUNDDOWN(H$26/5, 0)*5,'2020ER'!$D$68:$D$83,'2020ER'!$R$68:$R$83)+((H$26-ROUNDDOWN(H$26/5, 0)*5)/5)*(LOOKUP(ROUNDUP(H$26/5, 0)*5,'2020ER'!$D$68:$D$83,'2020ER'!$R$68:$R$83)-LOOKUP(ROUNDDOWN(H$26/5, 0)*5,'2020ER'!$D$68:$D$83,'2020ER'!$R$68:$R$83))</f>
        <v>0.3097579475469262</v>
      </c>
      <c r="I41" s="212">
        <f t="shared" si="9"/>
        <v>0.7238677771660349</v>
      </c>
      <c r="J41" s="167"/>
      <c r="K41" s="610"/>
    </row>
    <row r="42" spans="1:11" x14ac:dyDescent="0.25">
      <c r="A42" s="610"/>
      <c r="B42" s="302"/>
      <c r="C42" s="591" t="s">
        <v>406</v>
      </c>
      <c r="D42" s="11"/>
      <c r="E42" s="11"/>
      <c r="F42" s="392"/>
      <c r="G42" s="392"/>
      <c r="H42" s="392"/>
      <c r="I42" s="392"/>
      <c r="J42" s="167"/>
      <c r="K42" s="610"/>
    </row>
    <row r="43" spans="1:11" x14ac:dyDescent="0.25">
      <c r="A43" s="610"/>
      <c r="B43" s="302"/>
      <c r="C43" s="359" t="s">
        <v>348</v>
      </c>
      <c r="D43" s="212">
        <f>LOOKUP(ROUNDDOWN(F$27/5, 0)*5,'2010ER'!$D$4:$D$19,'2010ER'!$H$4:$H$19)+((F$27-ROUNDDOWN(F$27/5, 0)*5)/5)*(LOOKUP(ROUNDUP(F$27/5, 0)*5,'2010ER'!$D$4:$D$19,'2010ER'!$H$4:$H$19)-LOOKUP(ROUNDDOWN(F$27/5, 0)*5,'2010ER'!$D$4:$D$19,'2010ER'!$H$4:$H$19))</f>
        <v>434.96346695793278</v>
      </c>
      <c r="E43" s="212">
        <f>LOOKUP(ROUNDDOWN(E$27/5, 0)*5,'2020ER'!$D$4:$D$19,'2020ER'!$H$4:$H$19)+((E$27-ROUNDDOWN(E$27/5, 0)*5)/5)*(LOOKUP(ROUNDUP(E$27/5, 0)*5,'2020ER'!$D$4:$D$19,'2020ER'!$H$4:$H$19)-LOOKUP(ROUNDDOWN(E$27/5, 0)*5,'2020ER'!$D$4:$D$19,'2020ER'!$H$4:$H$19))</f>
        <v>371.21071173518953</v>
      </c>
      <c r="F43" s="212">
        <f t="shared" ref="F43:F52" si="10">TREND(D43:E43, D$6:E$6, F$6)</f>
        <v>428.58819143565961</v>
      </c>
      <c r="G43" s="212">
        <f>LOOKUP(ROUNDDOWN(I$27/5, 0)*5,'2010ER'!$D$4:$D$19,'2010ER'!$H$4:$H$19)+((I$27-ROUNDDOWN(I$27/5, 0)*5)/5)*(LOOKUP(ROUNDUP(I$27/5, 0)*5,'2010ER'!$D$4:$D$19,'2010ER'!$H$4:$H$19)-LOOKUP(ROUNDDOWN(I$27/5, 0)*5,'2010ER'!$D$4:$D$19,'2010ER'!$H$4:$H$19))</f>
        <v>434.96346695793278</v>
      </c>
      <c r="H43" s="212">
        <f>LOOKUP(ROUNDDOWN(H$27/5, 0)*5,'2020ER'!$D$4:$D$19,'2020ER'!$H$4:$H$19)+((H$27-ROUNDDOWN(H$27/5, 0)*5)/5)*(LOOKUP(ROUNDUP(H$27/5, 0)*5,'2020ER'!$D$4:$D$19,'2020ER'!$H$4:$H$19)-LOOKUP(ROUNDDOWN(H$27/5, 0)*5,'2020ER'!$D$4:$D$19,'2020ER'!$H$4:$H$19))</f>
        <v>371.21071173518953</v>
      </c>
      <c r="I43" s="212">
        <f t="shared" ref="I43:I52" si="11">TREND(G43:H43, G$6:H$6, I$6)</f>
        <v>428.58819143565961</v>
      </c>
      <c r="J43" s="167"/>
      <c r="K43" s="610"/>
    </row>
    <row r="44" spans="1:11" x14ac:dyDescent="0.25">
      <c r="A44" s="610"/>
      <c r="B44" s="302"/>
      <c r="C44" s="359" t="s">
        <v>351</v>
      </c>
      <c r="D44" s="212">
        <f>LOOKUP(ROUNDDOWN(F$27/5, 0)*5,'2010ER'!$D$20:$D$35,'2010ER'!$H$20:$H$35)+((F$27-ROUNDDOWN(F$27/5, 0)*5)/5)*(LOOKUP(ROUNDUP(F$27/5, 0)*5,'2010ER'!$D$20:$D$35,'2010ER'!$H$20:$H$35)-LOOKUP(ROUNDDOWN(F$27/5, 0)*5,'2010ER'!$D$20:$D$35,'2010ER'!$H$20:$H$35))</f>
        <v>0.70494415760694384</v>
      </c>
      <c r="E44" s="212">
        <f>LOOKUP(ROUNDDOWN(E$27/5, 0)*5,'2020ER'!$D$20:$D$35,'2020ER'!$H$20:$H$35)+((E$27-ROUNDDOWN(E$27/5, 0)*5)/5)*(LOOKUP(ROUNDUP(E$27/5, 0)*5,'2020ER'!$D$20:$D$35,'2020ER'!$H$20:$H$35)-LOOKUP(ROUNDDOWN(E$27/5, 0)*5,'2020ER'!$D$20:$D$35,'2020ER'!$H$20:$H$35))</f>
        <v>0.22129919749121899</v>
      </c>
      <c r="F44" s="212">
        <f t="shared" si="10"/>
        <v>0.65657966159537295</v>
      </c>
      <c r="G44" s="212">
        <f>LOOKUP(ROUNDDOWN(I$27/5, 0)*5,'2010ER'!$D$20:$D$35,'2010ER'!$H$20:$H$35)+((I$27-ROUNDDOWN(I$27/5, 0)*5)/5)*(LOOKUP(ROUNDUP(I$27/5, 0)*5,'2010ER'!$D$20:$D$35,'2010ER'!$H$20:$H$35)-LOOKUP(ROUNDDOWN(I$27/5, 0)*5,'2010ER'!$D$20:$D$35,'2010ER'!$H$20:$H$35))</f>
        <v>0.70494415760694384</v>
      </c>
      <c r="H44" s="212">
        <f>LOOKUP(ROUNDDOWN(H$27/5, 0)*5,'2020ER'!$D$20:$D$35,'2020ER'!$H$20:$H$35)+((H$27-ROUNDDOWN(H$27/5, 0)*5)/5)*(LOOKUP(ROUNDUP(H$27/5, 0)*5,'2020ER'!$D$20:$D$35,'2020ER'!$H$20:$H$35)-LOOKUP(ROUNDDOWN(H$27/5, 0)*5,'2020ER'!$D$20:$D$35,'2020ER'!$H$20:$H$35))</f>
        <v>0.22129919749121899</v>
      </c>
      <c r="I44" s="212">
        <f t="shared" si="11"/>
        <v>0.65657966159537295</v>
      </c>
      <c r="J44" s="167"/>
      <c r="K44" s="610"/>
    </row>
    <row r="45" spans="1:11" x14ac:dyDescent="0.25">
      <c r="A45" s="610"/>
      <c r="B45" s="302"/>
      <c r="C45" s="359" t="s">
        <v>377</v>
      </c>
      <c r="D45" s="212">
        <f>LOOKUP(ROUNDDOWN(F$27/5, 0)*5,'2010ER'!$D$36:$D$51,'2010ER'!$H$36:$H$51)+((F$27-ROUNDDOWN(F$27/5, 0)*5)/5)*(LOOKUP(ROUNDUP(F$27/5, 0)*5,'2010ER'!$D$36:$D$51,'2010ER'!$H$36:$H$51)-LOOKUP(ROUNDDOWN(F$27/5, 0)*5,'2010ER'!$D$36:$D$51,'2010ER'!$H$36:$H$51))</f>
        <v>2.1607753839747331E-2</v>
      </c>
      <c r="E45" s="212">
        <f>LOOKUP(ROUNDDOWN(E$27/5, 0)*5,'2020ER'!$D$36:$D$51,'2020ER'!$H$36:$H$51)+((E$27-ROUNDDOWN(E$27/5, 0)*5)/5)*(LOOKUP(ROUNDUP(E$27/5, 0)*5,'2020ER'!$D$36:$D$51,'2020ER'!$H$36:$H$51)-LOOKUP(ROUNDDOWN(E$27/5, 0)*5,'2020ER'!$D$36:$D$51,'2020ER'!$H$36:$H$51))</f>
        <v>1.5459135960264605E-2</v>
      </c>
      <c r="F45" s="212">
        <f t="shared" si="10"/>
        <v>2.0992892051798773E-2</v>
      </c>
      <c r="G45" s="212">
        <f>LOOKUP(ROUNDDOWN(I$27/5, 0)*5,'2010ER'!$D$36:$D$51,'2010ER'!$H$36:$H$51)+((I$27-ROUNDDOWN(I$27/5, 0)*5)/5)*(LOOKUP(ROUNDUP(I$27/5, 0)*5,'2010ER'!$D$36:$D$51,'2010ER'!$H$36:$H$51)-LOOKUP(ROUNDDOWN(I$27/5, 0)*5,'2010ER'!$D$36:$D$51,'2010ER'!$H$36:$H$51))</f>
        <v>2.1607753839747331E-2</v>
      </c>
      <c r="H45" s="212">
        <f>LOOKUP(ROUNDDOWN(H$27/5, 0)*5,'2020ER'!$D$36:$D$51,'2020ER'!$H$36:$H$51)+((H$27-ROUNDDOWN(H$27/5, 0)*5)/5)*(LOOKUP(ROUNDUP(H$27/5, 0)*5,'2020ER'!$D$36:$D$51,'2020ER'!$H$36:$H$51)-LOOKUP(ROUNDDOWN(H$27/5, 0)*5,'2020ER'!$D$36:$D$51,'2020ER'!$H$36:$H$51))</f>
        <v>1.5459135960264605E-2</v>
      </c>
      <c r="I45" s="212">
        <f t="shared" si="11"/>
        <v>2.0992892051798773E-2</v>
      </c>
      <c r="J45" s="167"/>
      <c r="K45" s="610"/>
    </row>
    <row r="46" spans="1:11" x14ac:dyDescent="0.25">
      <c r="A46" s="610"/>
      <c r="B46" s="302"/>
      <c r="C46" s="359" t="s">
        <v>426</v>
      </c>
      <c r="D46" s="212">
        <f>LOOKUP(ROUNDDOWN(F$27/5, 0)*5,'2010ER'!$D$52:$D$67,'2010ER'!$H$52:$H$67)+((F$27-ROUNDDOWN(F$27/5, 0)*5)/5)*(LOOKUP(ROUNDUP(F$27/5, 0)*5,'2010ER'!$D$52:$D$67,'2010ER'!$H$52:$H$67)-LOOKUP(ROUNDDOWN(F$27/5, 0)*5,'2010ER'!$D$52:$D$67,'2010ER'!$H$52:$H$67))</f>
        <v>0.72488055188990463</v>
      </c>
      <c r="E46" s="212">
        <f>LOOKUP(ROUNDDOWN(E$27/5, 0)*5,'2020ER'!$D$52:$D$67,'2020ER'!$H$52:$H$67)+((E$27-ROUNDDOWN(E$27/5, 0)*5)/5)*(LOOKUP(ROUNDUP(E$27/5, 0)*5,'2020ER'!$D$52:$D$67,'2020ER'!$H$52:$H$67)-LOOKUP(ROUNDDOWN(E$27/5, 0)*5,'2020ER'!$D$52:$D$67,'2020ER'!$H$52:$H$67))</f>
        <v>0.23115020840772224</v>
      </c>
      <c r="F46" s="212">
        <f t="shared" si="10"/>
        <v>0.67550751754168914</v>
      </c>
      <c r="G46" s="212">
        <f>LOOKUP(ROUNDDOWN(I$27/5, 0)*5,'2010ER'!$D$52:$D$67,'2010ER'!$H$52:$H$67)+((I$27-ROUNDDOWN(I$27/5, 0)*5)/5)*(LOOKUP(ROUNDUP(I$27/5, 0)*5,'2010ER'!$D$52:$D$67,'2010ER'!$H$52:$H$67)-LOOKUP(ROUNDDOWN(I$27/5, 0)*5,'2010ER'!$D$52:$D$67,'2010ER'!$H$52:$H$67))</f>
        <v>0.72488055188990463</v>
      </c>
      <c r="H46" s="212">
        <f>LOOKUP(ROUNDDOWN(H$27/5, 0)*5,'2020ER'!$D$52:$D$67,'2020ER'!$H$52:$H$67)+((H$27-ROUNDDOWN(H$27/5, 0)*5)/5)*(LOOKUP(ROUNDUP(H$27/5, 0)*5,'2020ER'!$D$52:$D$67,'2020ER'!$H$52:$H$67)-LOOKUP(ROUNDDOWN(H$27/5, 0)*5,'2020ER'!$D$52:$D$67,'2020ER'!$H$52:$H$67))</f>
        <v>0.23115020840772224</v>
      </c>
      <c r="I46" s="212">
        <f t="shared" si="11"/>
        <v>0.67550751754168914</v>
      </c>
      <c r="J46" s="167"/>
      <c r="K46" s="610"/>
    </row>
    <row r="47" spans="1:11" x14ac:dyDescent="0.25">
      <c r="A47" s="610"/>
      <c r="B47" s="302"/>
      <c r="C47" s="359" t="s">
        <v>424</v>
      </c>
      <c r="D47" s="212">
        <f>LOOKUP(ROUNDDOWN(F$27/5, 0)*5,'2010ER'!$D$68:$D$83,'2010ER'!$H$68:$H$83)+((F$27-ROUNDDOWN(F$27/5, 0)*5)/5)*(LOOKUP(ROUNDUP(F$27/5, 0)*5,'2010ER'!$D$68:$D$83,'2010ER'!$H$68:$H$83)-LOOKUP(ROUNDDOWN(F$27/5, 0)*5,'2010ER'!$D$68:$D$83,'2010ER'!$H$68:$H$83))</f>
        <v>0.29106373031257199</v>
      </c>
      <c r="E47" s="212">
        <f>LOOKUP(ROUNDDOWN(E$27/5, 0)*5,'2020ER'!$D$68:$D$83,'2020ER'!$H$68:$H$83)+((E$27-ROUNDDOWN(E$27/5, 0)*5)/5)*(LOOKUP(ROUNDUP(E$27/5, 0)*5,'2020ER'!$D$68:$D$83,'2020ER'!$H$68:$H$83)-LOOKUP(ROUNDDOWN(E$27/5, 0)*5,'2020ER'!$D$68:$D$83,'2020ER'!$H$68:$H$83))</f>
        <v>9.2535285303120135E-2</v>
      </c>
      <c r="F47" s="212">
        <f t="shared" si="10"/>
        <v>0.27121088581162667</v>
      </c>
      <c r="G47" s="212">
        <f>LOOKUP(ROUNDDOWN(I$27/5, 0)*5,'2010ER'!$D$68:$D$83,'2010ER'!$H$68:$H$83)+((I$27-ROUNDDOWN(I$27/5, 0)*5)/5)*(LOOKUP(ROUNDUP(I$27/5, 0)*5,'2010ER'!$D$68:$D$83,'2010ER'!$H$68:$H$83)-LOOKUP(ROUNDDOWN(I$27/5, 0)*5,'2010ER'!$D$68:$D$83,'2010ER'!$H$68:$H$83))</f>
        <v>0.29106373031257199</v>
      </c>
      <c r="H47" s="212">
        <f>LOOKUP(ROUNDDOWN(H$27/5, 0)*5,'2020ER'!$D$68:$D$83,'2020ER'!$H$68:$H$83)+((H$27-ROUNDDOWN(H$27/5, 0)*5)/5)*(LOOKUP(ROUNDUP(H$27/5, 0)*5,'2020ER'!$D$68:$D$83,'2020ER'!$H$68:$H$83)-LOOKUP(ROUNDDOWN(H$27/5, 0)*5,'2020ER'!$D$68:$D$83,'2020ER'!$H$68:$H$83))</f>
        <v>9.2535285303120135E-2</v>
      </c>
      <c r="I47" s="212">
        <f t="shared" si="11"/>
        <v>0.27121088581162667</v>
      </c>
      <c r="J47" s="167"/>
      <c r="K47" s="610"/>
    </row>
    <row r="48" spans="1:11" x14ac:dyDescent="0.25">
      <c r="A48" s="610"/>
      <c r="B48" s="302"/>
      <c r="C48" s="359" t="s">
        <v>403</v>
      </c>
      <c r="D48" s="212">
        <f>LOOKUP(ROUNDDOWN(F$27/5, 0)*5,'2010ER'!$D$4:$D$19,'2010ER'!$R$4:$R$19)+((F$27-ROUNDDOWN(F$27/5, 0)*5)/5)*(LOOKUP(ROUNDUP(F$27/5, 0)*5,'2010ER'!$D$4:$D$19,'2010ER'!$R$4:$R$19)-LOOKUP(ROUNDDOWN(F$27/5, 0)*5,'2010ER'!$D$4:$D$19,'2010ER'!$R$4:$R$19))</f>
        <v>1876.2452090512004</v>
      </c>
      <c r="E48" s="212">
        <f>LOOKUP(ROUNDDOWN(E$27/5, 0)*5,'2020ER'!$D$4:$D$19,'2020ER'!$R$4:$R$19)+((E$27-ROUNDDOWN(E$27/5, 0)*5)/5)*(LOOKUP(ROUNDUP(E$27/5, 0)*5,'2020ER'!$D$4:$D$19,'2020ER'!$R$4:$R$19)-LOOKUP(ROUNDDOWN(E$27/5, 0)*5,'2020ER'!$D$4:$D$19,'2020ER'!$R$4:$R$19))</f>
        <v>1870.4823724425344</v>
      </c>
      <c r="F48" s="212">
        <f t="shared" si="10"/>
        <v>1875.6689253903335</v>
      </c>
      <c r="G48" s="212">
        <f>LOOKUP(ROUNDDOWN(I$27/5, 0)*5,'2010ER'!$D$4:$D$19,'2010ER'!$R$4:$R$19)+((I$27-ROUNDDOWN(I$27/5, 0)*5)/5)*(LOOKUP(ROUNDUP(I$27/5, 0)*5,'2010ER'!$D$4:$D$19,'2010ER'!$R$4:$R$19)-LOOKUP(ROUNDDOWN(I$27/5, 0)*5,'2010ER'!$D$4:$D$19,'2010ER'!$R$4:$R$19))</f>
        <v>1876.2452090512004</v>
      </c>
      <c r="H48" s="212">
        <f>LOOKUP(ROUNDDOWN(H$27/5, 0)*5,'2020ER'!$D$4:$D$19,'2020ER'!$R$4:$R$19)+((H$27-ROUNDDOWN(H$27/5, 0)*5)/5)*(LOOKUP(ROUNDUP(H$27/5, 0)*5,'2020ER'!$D$4:$D$19,'2020ER'!$R$4:$R$19)-LOOKUP(ROUNDDOWN(H$27/5, 0)*5,'2020ER'!$D$4:$D$19,'2020ER'!$R$4:$R$19))</f>
        <v>1870.4823724425344</v>
      </c>
      <c r="I48" s="212">
        <f t="shared" si="11"/>
        <v>1875.6689253903335</v>
      </c>
      <c r="J48" s="167"/>
      <c r="K48" s="610"/>
    </row>
    <row r="49" spans="1:11" x14ac:dyDescent="0.25">
      <c r="A49" s="610"/>
      <c r="B49" s="302"/>
      <c r="C49" s="359" t="s">
        <v>405</v>
      </c>
      <c r="D49" s="212">
        <f>LOOKUP(ROUNDDOWN(F$27/5, 0)*5,'2010ER'!$D$20:$D$35,'2010ER'!$R$20:$R$35)+((F$27-ROUNDDOWN(F$27/5, 0)*5)/5)*(LOOKUP(ROUNDUP(F$27/5, 0)*5,'2010ER'!$D$20:$D$35,'2010ER'!$R$20:$R$35)-LOOKUP(ROUNDDOWN(F$27/5, 0)*5,'2010ER'!$D$20:$D$35,'2010ER'!$R$20:$R$35))</f>
        <v>9.7137522015758506</v>
      </c>
      <c r="E49" s="212">
        <f>LOOKUP(ROUNDDOWN(E$27/5, 0)*5,'2020ER'!$D$20:$D$35,'2020ER'!$R$20:$R$35)+((E$27-ROUNDDOWN(E$27/5, 0)*5)/5)*(LOOKUP(ROUNDUP(E$27/5, 0)*5,'2020ER'!$D$20:$D$35,'2020ER'!$R$20:$R$35)-LOOKUP(ROUNDDOWN(E$27/5, 0)*5,'2020ER'!$D$20:$D$35,'2020ER'!$R$20:$R$35))</f>
        <v>2.7708336538699325</v>
      </c>
      <c r="F49" s="212">
        <f t="shared" si="10"/>
        <v>9.0194603468053174</v>
      </c>
      <c r="G49" s="212">
        <f>LOOKUP(ROUNDDOWN(I$27/5, 0)*5,'2010ER'!$D$20:$D$35,'2010ER'!$R$20:$R$35)+((I$27-ROUNDDOWN(I$27/5, 0)*5)/5)*(LOOKUP(ROUNDUP(I$27/5, 0)*5,'2010ER'!$D$20:$D$35,'2010ER'!$R$20:$R$35)-LOOKUP(ROUNDDOWN(I$27/5, 0)*5,'2010ER'!$D$20:$D$35,'2010ER'!$R$20:$R$35))</f>
        <v>9.7137522015758506</v>
      </c>
      <c r="H49" s="212">
        <f>LOOKUP(ROUNDDOWN(H$27/5, 0)*5,'2020ER'!$D$20:$D$35,'2020ER'!$R$20:$R$35)+((H$27-ROUNDDOWN(H$27/5, 0)*5)/5)*(LOOKUP(ROUNDUP(H$27/5, 0)*5,'2020ER'!$D$20:$D$35,'2020ER'!$R$20:$R$35)-LOOKUP(ROUNDDOWN(H$27/5, 0)*5,'2020ER'!$D$20:$D$35,'2020ER'!$R$20:$R$35))</f>
        <v>2.7708336538699325</v>
      </c>
      <c r="I49" s="212">
        <f t="shared" si="11"/>
        <v>9.0194603468053174</v>
      </c>
      <c r="J49" s="167"/>
      <c r="K49" s="610"/>
    </row>
    <row r="50" spans="1:11" x14ac:dyDescent="0.25">
      <c r="A50" s="610"/>
      <c r="B50" s="302"/>
      <c r="C50" s="359" t="s">
        <v>404</v>
      </c>
      <c r="D50" s="212">
        <f>LOOKUP(ROUNDDOWN(F$27/5, 0)*5,'2010ER'!$D$36:$D$51,'2010ER'!$R$36:$R$51)+((F$27-ROUNDDOWN(F$27/5, 0)*5)/5)*(LOOKUP(ROUNDUP(F$27/5, 0)*5,'2010ER'!$D$36:$D$51,'2010ER'!$R$36:$R$51)-LOOKUP(ROUNDDOWN(F$27/5, 0)*5,'2010ER'!$D$36:$D$51,'2010ER'!$R$36:$R$51))</f>
        <v>0.57812987932675464</v>
      </c>
      <c r="E50" s="212">
        <f>LOOKUP(ROUNDDOWN(E$27/5, 0)*5,'2020ER'!$D$36:$D$51,'2020ER'!$R$36:$R$51)+((E$27-ROUNDDOWN(E$27/5, 0)*5)/5)*(LOOKUP(ROUNDUP(E$27/5, 0)*5,'2020ER'!$D$36:$D$51,'2020ER'!$R$36:$R$51)-LOOKUP(ROUNDDOWN(E$27/5, 0)*5,'2020ER'!$D$36:$D$51,'2020ER'!$R$36:$R$51))</f>
        <v>0.13773865393907439</v>
      </c>
      <c r="F50" s="212">
        <f t="shared" si="10"/>
        <v>0.53409075678797535</v>
      </c>
      <c r="G50" s="212">
        <f>LOOKUP(ROUNDDOWN(I$27/5, 0)*5,'2010ER'!$D$36:$D$51,'2010ER'!$R$36:$R$51)+((I$27-ROUNDDOWN(I$27/5, 0)*5)/5)*(LOOKUP(ROUNDUP(I$27/5, 0)*5,'2010ER'!$D$36:$D$51,'2010ER'!$R$36:$R$51)-LOOKUP(ROUNDDOWN(I$27/5, 0)*5,'2010ER'!$D$36:$D$51,'2010ER'!$R$36:$R$51))</f>
        <v>0.57812987932675464</v>
      </c>
      <c r="H50" s="212">
        <f>LOOKUP(ROUNDDOWN(H$27/5, 0)*5,'2020ER'!$D$36:$D$51,'2020ER'!$R$36:$R$51)+((H$27-ROUNDDOWN(H$27/5, 0)*5)/5)*(LOOKUP(ROUNDUP(H$27/5, 0)*5,'2020ER'!$D$36:$D$51,'2020ER'!$R$36:$R$51)-LOOKUP(ROUNDDOWN(H$27/5, 0)*5,'2020ER'!$D$36:$D$51,'2020ER'!$R$36:$R$51))</f>
        <v>0.13773865393907439</v>
      </c>
      <c r="I50" s="212">
        <f t="shared" si="11"/>
        <v>0.53409075678797535</v>
      </c>
      <c r="J50" s="167"/>
      <c r="K50" s="610"/>
    </row>
    <row r="51" spans="1:11" x14ac:dyDescent="0.25">
      <c r="A51" s="610"/>
      <c r="B51" s="302"/>
      <c r="C51" s="359" t="s">
        <v>427</v>
      </c>
      <c r="D51" s="212">
        <f>LOOKUP(ROUNDDOWN(F$27/5, 0)*5,'2010ER'!$D$52:$D$67,'2010ER'!$R$52:$R$67)+((F$27-ROUNDDOWN(F$27/5, 0)*5)/5)*(LOOKUP(ROUNDUP(F$27/5, 0)*5,'2010ER'!$D$52:$D$67,'2010ER'!$R$52:$R$67)-LOOKUP(ROUNDDOWN(F$27/5, 0)*5,'2010ER'!$D$52:$D$67,'2010ER'!$R$52:$R$67))</f>
        <v>8.4569222169847116</v>
      </c>
      <c r="E51" s="212">
        <f>LOOKUP(ROUNDDOWN(E$27/5, 0)*5,'2020ER'!$D$52:$D$67,'2020ER'!$R$52:$R$67)+((E$27-ROUNDDOWN(E$27/5, 0)*5)/5)*(LOOKUP(ROUNDUP(E$27/5, 0)*5,'2020ER'!$D$52:$D$67,'2020ER'!$R$52:$R$67)-LOOKUP(ROUNDDOWN(E$27/5, 0)*5,'2020ER'!$D$52:$D$67,'2020ER'!$R$52:$R$67))</f>
        <v>2.3970085896818469</v>
      </c>
      <c r="F51" s="212">
        <f t="shared" si="10"/>
        <v>7.8509308542545568</v>
      </c>
      <c r="G51" s="212">
        <f>LOOKUP(ROUNDDOWN(I$27/5, 0)*5,'2010ER'!$D$52:$D$67,'2010ER'!$R$52:$R$67)+((I$27-ROUNDDOWN(I$27/5, 0)*5)/5)*(LOOKUP(ROUNDUP(I$27/5, 0)*5,'2010ER'!$D$52:$D$67,'2010ER'!$R$52:$R$67)-LOOKUP(ROUNDDOWN(I$27/5, 0)*5,'2010ER'!$D$52:$D$67,'2010ER'!$R$52:$R$67))</f>
        <v>8.4569222169847116</v>
      </c>
      <c r="H51" s="212">
        <f>LOOKUP(ROUNDDOWN(H$27/5, 0)*5,'2020ER'!$D$52:$D$67,'2020ER'!$R$52:$R$67)+((H$27-ROUNDDOWN(H$27/5, 0)*5)/5)*(LOOKUP(ROUNDUP(H$27/5, 0)*5,'2020ER'!$D$52:$D$67,'2020ER'!$R$52:$R$67)-LOOKUP(ROUNDDOWN(H$27/5, 0)*5,'2020ER'!$D$52:$D$67,'2020ER'!$R$52:$R$67))</f>
        <v>2.3970085896818469</v>
      </c>
      <c r="I51" s="212">
        <f t="shared" si="11"/>
        <v>7.8509308542545568</v>
      </c>
      <c r="J51" s="167"/>
      <c r="K51" s="610"/>
    </row>
    <row r="52" spans="1:11" x14ac:dyDescent="0.25">
      <c r="A52" s="610"/>
      <c r="B52" s="302"/>
      <c r="C52" s="359" t="s">
        <v>425</v>
      </c>
      <c r="D52" s="212">
        <f>LOOKUP(ROUNDDOWN(F$27/5, 0)*5,'2010ER'!$D$68:$D$83,'2010ER'!$R$68:$R$83)+((F$27-ROUNDDOWN(F$27/5, 0)*5)/5)*(LOOKUP(ROUNDUP(F$27/5, 0)*5,'2010ER'!$D$68:$D$83,'2010ER'!$R$68:$R$83)-LOOKUP(ROUNDDOWN(F$27/5, 0)*5,'2010ER'!$D$68:$D$83,'2010ER'!$R$68:$R$83))</f>
        <v>0.74042267778721826</v>
      </c>
      <c r="E52" s="212">
        <f>LOOKUP(ROUNDDOWN(E$27/5, 0)*5,'2020ER'!$D$68:$D$83,'2020ER'!$R$68:$R$83)+((E$27-ROUNDDOWN(E$27/5, 0)*5)/5)*(LOOKUP(ROUNDUP(E$27/5, 0)*5,'2020ER'!$D$68:$D$83,'2020ER'!$R$68:$R$83)-LOOKUP(ROUNDDOWN(E$27/5, 0)*5,'2020ER'!$D$68:$D$83,'2020ER'!$R$68:$R$83))</f>
        <v>0.29863056284645229</v>
      </c>
      <c r="F52" s="212">
        <f t="shared" si="10"/>
        <v>0.69624346629315426</v>
      </c>
      <c r="G52" s="212">
        <f>LOOKUP(ROUNDDOWN(I$27/5, 0)*5,'2010ER'!$D$68:$D$83,'2010ER'!$R$68:$R$83)+((I$27-ROUNDDOWN(I$27/5, 0)*5)/5)*(LOOKUP(ROUNDUP(I$27/5, 0)*5,'2010ER'!$D$68:$D$83,'2010ER'!$R$68:$R$83)-LOOKUP(ROUNDDOWN(I$27/5, 0)*5,'2010ER'!$D$68:$D$83,'2010ER'!$R$68:$R$83))</f>
        <v>0.74042267778721826</v>
      </c>
      <c r="H52" s="212">
        <f>LOOKUP(ROUNDDOWN(H$27/5, 0)*5,'2020ER'!$D$68:$D$83,'2020ER'!$R$68:$R$83)+((H$27-ROUNDDOWN(H$27/5, 0)*5)/5)*(LOOKUP(ROUNDUP(H$27/5, 0)*5,'2020ER'!$D$68:$D$83,'2020ER'!$R$68:$R$83)-LOOKUP(ROUNDDOWN(H$27/5, 0)*5,'2020ER'!$D$68:$D$83,'2020ER'!$R$68:$R$83))</f>
        <v>0.29863056284645229</v>
      </c>
      <c r="I52" s="212">
        <f t="shared" si="11"/>
        <v>0.69624346629315426</v>
      </c>
      <c r="J52" s="167"/>
      <c r="K52" s="610"/>
    </row>
    <row r="53" spans="1:11" x14ac:dyDescent="0.25">
      <c r="A53" s="610"/>
      <c r="B53" s="302"/>
      <c r="C53" s="591" t="s">
        <v>832</v>
      </c>
      <c r="D53" s="11"/>
      <c r="E53" s="11"/>
      <c r="F53" s="392"/>
      <c r="G53" s="392"/>
      <c r="H53" s="392"/>
      <c r="I53" s="392"/>
      <c r="J53" s="167"/>
      <c r="K53" s="610"/>
    </row>
    <row r="54" spans="1:11" x14ac:dyDescent="0.25">
      <c r="A54" s="610"/>
      <c r="B54" s="302"/>
      <c r="C54" s="359" t="s">
        <v>428</v>
      </c>
      <c r="D54" s="134">
        <f t="shared" ref="D54:I58" si="12">D$24*D32*D$17*D$18</f>
        <v>1748105889.1503429</v>
      </c>
      <c r="E54" s="134">
        <f t="shared" si="12"/>
        <v>1491527670.8281138</v>
      </c>
      <c r="F54" s="134">
        <f t="shared" si="12"/>
        <v>1722448067.318119</v>
      </c>
      <c r="G54" s="134">
        <f t="shared" si="12"/>
        <v>1748105889.1503429</v>
      </c>
      <c r="H54" s="134">
        <f t="shared" si="12"/>
        <v>1491527670.8281138</v>
      </c>
      <c r="I54" s="134">
        <f>I$24*I32*I$17*I$18</f>
        <v>1722448067.318119</v>
      </c>
      <c r="J54" s="167"/>
      <c r="K54" s="610"/>
    </row>
    <row r="55" spans="1:11" x14ac:dyDescent="0.25">
      <c r="A55" s="610"/>
      <c r="B55" s="302"/>
      <c r="C55" s="359" t="s">
        <v>429</v>
      </c>
      <c r="D55" s="134">
        <f t="shared" si="12"/>
        <v>2827040.3365571494</v>
      </c>
      <c r="E55" s="134">
        <f t="shared" si="12"/>
        <v>880873.72542734328</v>
      </c>
      <c r="F55" s="134">
        <f t="shared" si="12"/>
        <v>2632423.6754441727</v>
      </c>
      <c r="G55" s="134">
        <f t="shared" si="12"/>
        <v>2827040.3365571494</v>
      </c>
      <c r="H55" s="134">
        <f t="shared" si="12"/>
        <v>880873.72542734328</v>
      </c>
      <c r="I55" s="134">
        <f t="shared" si="12"/>
        <v>2632423.6754441727</v>
      </c>
      <c r="J55" s="167"/>
      <c r="K55" s="610"/>
    </row>
    <row r="56" spans="1:11" x14ac:dyDescent="0.25">
      <c r="A56" s="610"/>
      <c r="B56" s="302"/>
      <c r="C56" s="359" t="s">
        <v>430</v>
      </c>
      <c r="D56" s="134">
        <f t="shared" si="12"/>
        <v>88630.541062114964</v>
      </c>
      <c r="E56" s="134">
        <f t="shared" si="12"/>
        <v>63615.16029878852</v>
      </c>
      <c r="F56" s="134">
        <f t="shared" si="12"/>
        <v>86129.002985782499</v>
      </c>
      <c r="G56" s="134">
        <f t="shared" si="12"/>
        <v>88630.541062114964</v>
      </c>
      <c r="H56" s="134">
        <f t="shared" si="12"/>
        <v>63615.16029878852</v>
      </c>
      <c r="I56" s="134">
        <f t="shared" si="12"/>
        <v>86129.002985782499</v>
      </c>
      <c r="J56" s="167"/>
      <c r="K56" s="610"/>
    </row>
    <row r="57" spans="1:11" x14ac:dyDescent="0.25">
      <c r="A57" s="610"/>
      <c r="B57" s="302"/>
      <c r="C57" s="359" t="s">
        <v>431</v>
      </c>
      <c r="D57" s="134">
        <f t="shared" si="12"/>
        <v>2970829.1753365062</v>
      </c>
      <c r="E57" s="134">
        <f t="shared" si="12"/>
        <v>941125.66884401999</v>
      </c>
      <c r="F57" s="134">
        <f t="shared" si="12"/>
        <v>2767858.8246872984</v>
      </c>
      <c r="G57" s="134">
        <f t="shared" si="12"/>
        <v>2970829.1753365062</v>
      </c>
      <c r="H57" s="134">
        <f t="shared" si="12"/>
        <v>941125.66884401999</v>
      </c>
      <c r="I57" s="134">
        <f t="shared" si="12"/>
        <v>2767858.8246872984</v>
      </c>
      <c r="J57" s="167"/>
      <c r="K57" s="610"/>
    </row>
    <row r="58" spans="1:11" x14ac:dyDescent="0.25">
      <c r="A58" s="610"/>
      <c r="B58" s="302"/>
      <c r="C58" s="359" t="s">
        <v>432</v>
      </c>
      <c r="D58" s="134">
        <f t="shared" si="12"/>
        <v>1181605.7214649802</v>
      </c>
      <c r="E58" s="134">
        <f t="shared" si="12"/>
        <v>374240.59133524756</v>
      </c>
      <c r="F58" s="134">
        <f t="shared" si="12"/>
        <v>1100869.2084520152</v>
      </c>
      <c r="G58" s="134">
        <f t="shared" si="12"/>
        <v>1181605.7214649802</v>
      </c>
      <c r="H58" s="134">
        <f t="shared" si="12"/>
        <v>374240.59133524756</v>
      </c>
      <c r="I58" s="134">
        <f t="shared" si="12"/>
        <v>1100869.2084520152</v>
      </c>
      <c r="J58" s="167"/>
      <c r="K58" s="610"/>
    </row>
    <row r="59" spans="1:11" x14ac:dyDescent="0.25">
      <c r="A59" s="610"/>
      <c r="B59" s="302"/>
      <c r="C59" s="359" t="s">
        <v>433</v>
      </c>
      <c r="D59" s="134">
        <f t="shared" ref="D59:I63" si="13">D$25*D37*D$17*D$18</f>
        <v>227197692.98276955</v>
      </c>
      <c r="E59" s="134">
        <f t="shared" si="13"/>
        <v>226519671.62538466</v>
      </c>
      <c r="F59" s="134">
        <f t="shared" si="13"/>
        <v>227129890.84703106</v>
      </c>
      <c r="G59" s="134">
        <f t="shared" si="13"/>
        <v>227197692.98276955</v>
      </c>
      <c r="H59" s="134">
        <f t="shared" si="13"/>
        <v>226519671.62538466</v>
      </c>
      <c r="I59" s="134">
        <f t="shared" si="13"/>
        <v>227129890.84703106</v>
      </c>
      <c r="J59" s="167"/>
      <c r="K59" s="610"/>
    </row>
    <row r="60" spans="1:11" x14ac:dyDescent="0.25">
      <c r="A60" s="610"/>
      <c r="B60" s="302"/>
      <c r="C60" s="359" t="s">
        <v>434</v>
      </c>
      <c r="D60" s="134">
        <f t="shared" si="13"/>
        <v>1179331.1477746759</v>
      </c>
      <c r="E60" s="134">
        <f t="shared" si="13"/>
        <v>336680.05623915797</v>
      </c>
      <c r="F60" s="134">
        <f t="shared" si="13"/>
        <v>1095066.0386211439</v>
      </c>
      <c r="G60" s="134">
        <f t="shared" si="13"/>
        <v>1179331.1477746759</v>
      </c>
      <c r="H60" s="134">
        <f t="shared" si="13"/>
        <v>336680.05623915797</v>
      </c>
      <c r="I60" s="134">
        <f t="shared" si="13"/>
        <v>1095066.0386211439</v>
      </c>
      <c r="J60" s="167"/>
      <c r="K60" s="610"/>
    </row>
    <row r="61" spans="1:11" x14ac:dyDescent="0.25">
      <c r="A61" s="610"/>
      <c r="B61" s="302"/>
      <c r="C61" s="359" t="s">
        <v>435</v>
      </c>
      <c r="D61" s="134">
        <f t="shared" si="13"/>
        <v>70514.112159041833</v>
      </c>
      <c r="E61" s="134">
        <f t="shared" si="13"/>
        <v>17014.503466968345</v>
      </c>
      <c r="F61" s="134">
        <f t="shared" si="13"/>
        <v>65164.151289835107</v>
      </c>
      <c r="G61" s="134">
        <f t="shared" si="13"/>
        <v>70514.112159041833</v>
      </c>
      <c r="H61" s="134">
        <f t="shared" si="13"/>
        <v>17014.503466968345</v>
      </c>
      <c r="I61" s="134">
        <f t="shared" si="13"/>
        <v>65164.151289835107</v>
      </c>
      <c r="J61" s="167"/>
      <c r="K61" s="610"/>
    </row>
    <row r="62" spans="1:11" x14ac:dyDescent="0.25">
      <c r="A62" s="610"/>
      <c r="B62" s="302"/>
      <c r="C62" s="359" t="s">
        <v>436</v>
      </c>
      <c r="D62" s="134">
        <f t="shared" si="13"/>
        <v>1026805.3044128689</v>
      </c>
      <c r="E62" s="134">
        <f t="shared" si="13"/>
        <v>291309.49421320041</v>
      </c>
      <c r="F62" s="134">
        <f t="shared" si="13"/>
        <v>953255.72339291289</v>
      </c>
      <c r="G62" s="134">
        <f t="shared" si="13"/>
        <v>1026805.3044128689</v>
      </c>
      <c r="H62" s="134">
        <f t="shared" si="13"/>
        <v>291309.49421320041</v>
      </c>
      <c r="I62" s="134">
        <f t="shared" si="13"/>
        <v>953255.72339291289</v>
      </c>
      <c r="J62" s="167"/>
      <c r="K62" s="610"/>
    </row>
    <row r="63" spans="1:11" x14ac:dyDescent="0.25">
      <c r="A63" s="610"/>
      <c r="B63" s="302"/>
      <c r="C63" s="359" t="s">
        <v>437</v>
      </c>
      <c r="D63" s="134">
        <f t="shared" si="13"/>
        <v>92385.597654846657</v>
      </c>
      <c r="E63" s="134">
        <f t="shared" si="13"/>
        <v>37170.953705631138</v>
      </c>
      <c r="F63" s="134">
        <f t="shared" si="13"/>
        <v>86864.133259924187</v>
      </c>
      <c r="G63" s="134">
        <f t="shared" si="13"/>
        <v>92385.597654846657</v>
      </c>
      <c r="H63" s="134">
        <f t="shared" si="13"/>
        <v>37170.953705631138</v>
      </c>
      <c r="I63" s="134">
        <f t="shared" si="13"/>
        <v>86864.133259924187</v>
      </c>
      <c r="J63" s="167"/>
      <c r="K63" s="610"/>
    </row>
    <row r="64" spans="1:11" x14ac:dyDescent="0.25">
      <c r="A64" s="610"/>
      <c r="B64" s="302"/>
      <c r="C64" s="591" t="s">
        <v>833</v>
      </c>
      <c r="D64" s="11"/>
      <c r="E64" s="11"/>
      <c r="F64" s="392"/>
      <c r="G64" s="392"/>
      <c r="H64" s="392"/>
      <c r="I64" s="392"/>
      <c r="J64" s="167"/>
      <c r="K64" s="610"/>
    </row>
    <row r="65" spans="1:11" x14ac:dyDescent="0.25">
      <c r="A65" s="610"/>
      <c r="B65" s="302"/>
      <c r="C65" s="359" t="s">
        <v>428</v>
      </c>
      <c r="D65" s="134">
        <f t="shared" ref="D65:I69" si="14">D$24*D43*D$17*D$18</f>
        <v>1687658251.7967792</v>
      </c>
      <c r="E65" s="134">
        <f t="shared" si="14"/>
        <v>1440297561.5325353</v>
      </c>
      <c r="F65" s="134">
        <f t="shared" si="14"/>
        <v>1662922182.7703593</v>
      </c>
      <c r="G65" s="134">
        <f t="shared" si="14"/>
        <v>1687658251.7967792</v>
      </c>
      <c r="H65" s="134">
        <f t="shared" si="14"/>
        <v>1440297561.5325353</v>
      </c>
      <c r="I65" s="134">
        <f>I$24*I43*I$17*I$18</f>
        <v>1662922182.7703593</v>
      </c>
      <c r="J65" s="167"/>
      <c r="K65" s="610"/>
    </row>
    <row r="66" spans="1:11" x14ac:dyDescent="0.25">
      <c r="A66" s="610"/>
      <c r="B66" s="302"/>
      <c r="C66" s="359" t="s">
        <v>429</v>
      </c>
      <c r="D66" s="134">
        <f t="shared" si="14"/>
        <v>2735183.331514942</v>
      </c>
      <c r="E66" s="134">
        <f t="shared" si="14"/>
        <v>858640.88626592967</v>
      </c>
      <c r="F66" s="134">
        <f t="shared" si="14"/>
        <v>2547529.0869900472</v>
      </c>
      <c r="G66" s="134">
        <f t="shared" si="14"/>
        <v>2735183.331514942</v>
      </c>
      <c r="H66" s="134">
        <f t="shared" si="14"/>
        <v>858640.88626592967</v>
      </c>
      <c r="I66" s="134">
        <f t="shared" si="14"/>
        <v>2547529.0869900472</v>
      </c>
      <c r="J66" s="167"/>
      <c r="K66" s="610"/>
    </row>
    <row r="67" spans="1:11" x14ac:dyDescent="0.25">
      <c r="A67" s="610"/>
      <c r="B67" s="302"/>
      <c r="C67" s="359" t="s">
        <v>430</v>
      </c>
      <c r="D67" s="134">
        <f t="shared" si="14"/>
        <v>83838.084898219648</v>
      </c>
      <c r="E67" s="134">
        <f t="shared" si="14"/>
        <v>59981.447525826668</v>
      </c>
      <c r="F67" s="134">
        <f t="shared" si="14"/>
        <v>81452.42116097924</v>
      </c>
      <c r="G67" s="134">
        <f t="shared" si="14"/>
        <v>83838.084898219648</v>
      </c>
      <c r="H67" s="134">
        <f t="shared" si="14"/>
        <v>59981.447525826668</v>
      </c>
      <c r="I67" s="134">
        <f t="shared" si="14"/>
        <v>81452.42116097924</v>
      </c>
      <c r="J67" s="167"/>
      <c r="K67" s="610"/>
    </row>
    <row r="68" spans="1:11" x14ac:dyDescent="0.25">
      <c r="A68" s="610"/>
      <c r="B68" s="302"/>
      <c r="C68" s="359" t="s">
        <v>431</v>
      </c>
      <c r="D68" s="134">
        <f t="shared" si="14"/>
        <v>2812536.5413328302</v>
      </c>
      <c r="E68" s="134">
        <f t="shared" si="14"/>
        <v>896862.80862196221</v>
      </c>
      <c r="F68" s="134">
        <f t="shared" si="14"/>
        <v>2620969.1680617537</v>
      </c>
      <c r="G68" s="134">
        <f t="shared" si="14"/>
        <v>2812536.5413328302</v>
      </c>
      <c r="H68" s="134">
        <f t="shared" si="14"/>
        <v>896862.80862196221</v>
      </c>
      <c r="I68" s="134">
        <f t="shared" si="14"/>
        <v>2620969.1680617537</v>
      </c>
      <c r="J68" s="167"/>
      <c r="K68" s="610"/>
    </row>
    <row r="69" spans="1:11" x14ac:dyDescent="0.25">
      <c r="A69" s="610"/>
      <c r="B69" s="302"/>
      <c r="C69" s="359" t="s">
        <v>432</v>
      </c>
      <c r="D69" s="134">
        <f t="shared" si="14"/>
        <v>1129327.2736127791</v>
      </c>
      <c r="E69" s="134">
        <f t="shared" si="14"/>
        <v>359036.90697610611</v>
      </c>
      <c r="F69" s="134">
        <f t="shared" si="14"/>
        <v>1052298.2369491116</v>
      </c>
      <c r="G69" s="134">
        <f t="shared" si="14"/>
        <v>1129327.2736127791</v>
      </c>
      <c r="H69" s="134">
        <f t="shared" si="14"/>
        <v>359036.90697610611</v>
      </c>
      <c r="I69" s="134">
        <f t="shared" si="14"/>
        <v>1052298.2369491116</v>
      </c>
      <c r="J69" s="167"/>
      <c r="K69" s="610"/>
    </row>
    <row r="70" spans="1:11" x14ac:dyDescent="0.25">
      <c r="A70" s="610"/>
      <c r="B70" s="302"/>
      <c r="C70" s="359" t="s">
        <v>433</v>
      </c>
      <c r="D70" s="134">
        <f t="shared" ref="D70:I74" si="15">D$25*D48*D$17*D$18</f>
        <v>225149425.08614403</v>
      </c>
      <c r="E70" s="134">
        <f t="shared" si="15"/>
        <v>224457884.69310415</v>
      </c>
      <c r="F70" s="134">
        <f t="shared" si="15"/>
        <v>225080271.04684001</v>
      </c>
      <c r="G70" s="134">
        <f t="shared" si="15"/>
        <v>225149425.08614403</v>
      </c>
      <c r="H70" s="134">
        <f t="shared" si="15"/>
        <v>224457884.69310415</v>
      </c>
      <c r="I70" s="134">
        <f t="shared" si="15"/>
        <v>225080271.04684001</v>
      </c>
      <c r="J70" s="167"/>
      <c r="K70" s="610"/>
    </row>
    <row r="71" spans="1:11" x14ac:dyDescent="0.25">
      <c r="A71" s="610"/>
      <c r="B71" s="302"/>
      <c r="C71" s="359" t="s">
        <v>434</v>
      </c>
      <c r="D71" s="134">
        <f t="shared" si="15"/>
        <v>1165650.264189102</v>
      </c>
      <c r="E71" s="134">
        <f t="shared" si="15"/>
        <v>332500.0384643919</v>
      </c>
      <c r="F71" s="134">
        <f t="shared" si="15"/>
        <v>1082335.2416166381</v>
      </c>
      <c r="G71" s="134">
        <f t="shared" si="15"/>
        <v>1165650.264189102</v>
      </c>
      <c r="H71" s="134">
        <f t="shared" si="15"/>
        <v>332500.0384643919</v>
      </c>
      <c r="I71" s="134">
        <f t="shared" si="15"/>
        <v>1082335.2416166381</v>
      </c>
      <c r="J71" s="167"/>
      <c r="K71" s="610"/>
    </row>
    <row r="72" spans="1:11" x14ac:dyDescent="0.25">
      <c r="A72" s="610"/>
      <c r="B72" s="302"/>
      <c r="C72" s="359" t="s">
        <v>435</v>
      </c>
      <c r="D72" s="134">
        <f t="shared" si="15"/>
        <v>69375.585519210566</v>
      </c>
      <c r="E72" s="134">
        <f t="shared" si="15"/>
        <v>16528.638472688926</v>
      </c>
      <c r="F72" s="134">
        <f t="shared" si="15"/>
        <v>64090.890814557046</v>
      </c>
      <c r="G72" s="134">
        <f t="shared" si="15"/>
        <v>69375.585519210566</v>
      </c>
      <c r="H72" s="134">
        <f t="shared" si="15"/>
        <v>16528.638472688926</v>
      </c>
      <c r="I72" s="134">
        <f t="shared" si="15"/>
        <v>64090.890814557046</v>
      </c>
      <c r="J72" s="167"/>
      <c r="K72" s="610"/>
    </row>
    <row r="73" spans="1:11" x14ac:dyDescent="0.25">
      <c r="A73" s="610"/>
      <c r="B73" s="302"/>
      <c r="C73" s="359" t="s">
        <v>436</v>
      </c>
      <c r="D73" s="134">
        <f t="shared" si="15"/>
        <v>1014830.6660381655</v>
      </c>
      <c r="E73" s="134">
        <f t="shared" si="15"/>
        <v>287641.03076182166</v>
      </c>
      <c r="F73" s="134">
        <f t="shared" si="15"/>
        <v>942111.70251054678</v>
      </c>
      <c r="G73" s="134">
        <f t="shared" si="15"/>
        <v>1014830.6660381655</v>
      </c>
      <c r="H73" s="134">
        <f t="shared" si="15"/>
        <v>287641.03076182166</v>
      </c>
      <c r="I73" s="134">
        <f t="shared" si="15"/>
        <v>942111.70251054678</v>
      </c>
      <c r="J73" s="167"/>
      <c r="K73" s="610"/>
    </row>
    <row r="74" spans="1:11" s="328" customFormat="1" x14ac:dyDescent="0.25">
      <c r="A74" s="610"/>
      <c r="B74" s="302"/>
      <c r="C74" s="359" t="s">
        <v>437</v>
      </c>
      <c r="D74" s="134">
        <f t="shared" si="15"/>
        <v>88850.721334466187</v>
      </c>
      <c r="E74" s="134">
        <f t="shared" si="15"/>
        <v>35835.667541574272</v>
      </c>
      <c r="F74" s="134">
        <f t="shared" si="15"/>
        <v>83549.215955178515</v>
      </c>
      <c r="G74" s="134">
        <f t="shared" si="15"/>
        <v>88850.721334466187</v>
      </c>
      <c r="H74" s="134">
        <f t="shared" si="15"/>
        <v>35835.667541574272</v>
      </c>
      <c r="I74" s="134">
        <f t="shared" si="15"/>
        <v>83549.215955178515</v>
      </c>
      <c r="J74" s="167"/>
      <c r="K74" s="610"/>
    </row>
    <row r="75" spans="1:11" x14ac:dyDescent="0.25">
      <c r="A75" s="610"/>
      <c r="B75" s="302"/>
      <c r="C75" s="29"/>
      <c r="D75" s="29"/>
      <c r="E75" s="29"/>
      <c r="F75" s="29"/>
      <c r="G75" s="29"/>
      <c r="H75" s="29"/>
      <c r="I75" s="29"/>
      <c r="J75" s="167"/>
      <c r="K75" s="610"/>
    </row>
    <row r="76" spans="1:11" ht="15.75" x14ac:dyDescent="0.25">
      <c r="A76" s="610"/>
      <c r="B76" s="302"/>
      <c r="C76" s="1197" t="s">
        <v>701</v>
      </c>
      <c r="D76" s="1197"/>
      <c r="E76" s="1197"/>
      <c r="F76" s="1197"/>
      <c r="G76" s="1197"/>
      <c r="H76" s="1197"/>
      <c r="I76" s="1197"/>
      <c r="J76" s="189"/>
      <c r="K76" s="610"/>
    </row>
    <row r="77" spans="1:11" s="500" customFormat="1" ht="15.75" thickBot="1" x14ac:dyDescent="0.3">
      <c r="A77" s="610"/>
      <c r="B77" s="302"/>
      <c r="C77" s="598" t="s">
        <v>990</v>
      </c>
      <c r="D77"/>
      <c r="E77"/>
      <c r="F77"/>
      <c r="G77"/>
      <c r="H77"/>
      <c r="I77"/>
      <c r="J77" s="167"/>
      <c r="K77" s="610"/>
    </row>
    <row r="78" spans="1:11" s="500" customFormat="1" ht="15.75" thickBot="1" x14ac:dyDescent="0.3">
      <c r="A78" s="610"/>
      <c r="B78" s="333"/>
      <c r="C78" s="588"/>
      <c r="D78" s="495">
        <f>D28+G28</f>
        <v>16530.612244897955</v>
      </c>
      <c r="E78" s="495">
        <f>E28+H28</f>
        <v>16530.612244897955</v>
      </c>
      <c r="F78" s="470" t="s">
        <v>124</v>
      </c>
      <c r="G78" s="1050"/>
      <c r="H78" s="1050"/>
      <c r="I78" s="1063">
        <f>F28+I28</f>
        <v>16530.612244897955</v>
      </c>
      <c r="J78" s="167"/>
      <c r="K78" s="610"/>
    </row>
    <row r="79" spans="1:11" s="500" customFormat="1" ht="15.75" thickBot="1" x14ac:dyDescent="0.3">
      <c r="A79" s="741"/>
      <c r="B79" s="1"/>
      <c r="C79" s="508"/>
      <c r="D79" s="1064" t="s">
        <v>52</v>
      </c>
      <c r="E79" s="1064" t="s">
        <v>52</v>
      </c>
      <c r="F79" s="1064" t="s">
        <v>52</v>
      </c>
      <c r="G79" s="948"/>
      <c r="H79" s="948"/>
      <c r="I79" s="1065" t="s">
        <v>360</v>
      </c>
      <c r="J79" s="167"/>
      <c r="K79" s="741"/>
    </row>
    <row r="80" spans="1:11" s="500" customFormat="1" x14ac:dyDescent="0.25">
      <c r="A80" s="610"/>
      <c r="B80" s="1"/>
      <c r="C80" s="584"/>
      <c r="D80" s="536"/>
      <c r="E80" s="536"/>
      <c r="F80" s="522"/>
      <c r="G80" s="1"/>
      <c r="H80" s="1"/>
      <c r="I80" s="536"/>
      <c r="J80" s="167"/>
      <c r="K80" s="610"/>
    </row>
    <row r="81" spans="1:14" ht="15.75" thickBot="1" x14ac:dyDescent="0.3">
      <c r="A81" s="610"/>
      <c r="B81" s="302"/>
      <c r="C81" s="608" t="s">
        <v>724</v>
      </c>
      <c r="D81" s="135"/>
      <c r="E81" s="135"/>
      <c r="F81"/>
      <c r="G81" s="135"/>
      <c r="H81" s="135"/>
      <c r="I81" s="135"/>
      <c r="J81" s="29"/>
      <c r="K81" s="610"/>
    </row>
    <row r="82" spans="1:14" ht="15.75" thickBot="1" x14ac:dyDescent="0.3">
      <c r="A82" s="610"/>
      <c r="B82" s="302"/>
      <c r="C82" s="470"/>
      <c r="D82" s="60">
        <f t="shared" ref="D82:E86" si="16">D54+D59+G54+G59-(D65+D70+G65+G70)</f>
        <v>124991810.50037861</v>
      </c>
      <c r="E82" s="60">
        <f t="shared" si="16"/>
        <v>106583792.45571804</v>
      </c>
      <c r="F82" s="802" t="s">
        <v>817</v>
      </c>
      <c r="G82" s="556"/>
      <c r="H82" s="556"/>
      <c r="I82" s="955">
        <f>F54+F59+I54+I59-(F65+F70+I65+I70)</f>
        <v>123151008.69590139</v>
      </c>
      <c r="J82"/>
      <c r="K82" s="610"/>
    </row>
    <row r="83" spans="1:14" ht="15.75" thickBot="1" x14ac:dyDescent="0.3">
      <c r="A83" s="610"/>
      <c r="B83" s="563"/>
      <c r="C83" s="511"/>
      <c r="D83" s="60">
        <f t="shared" si="16"/>
        <v>211075.77725556213</v>
      </c>
      <c r="E83" s="60">
        <f t="shared" si="16"/>
        <v>52825.713872359134</v>
      </c>
      <c r="F83" s="330" t="s">
        <v>818</v>
      </c>
      <c r="G83" s="593"/>
      <c r="H83" s="593"/>
      <c r="I83" s="956">
        <f>F55+F60+I55+I60-(F66+F71+I66+I71)</f>
        <v>195250.77091726288</v>
      </c>
      <c r="J83" s="116"/>
      <c r="K83" s="610"/>
    </row>
    <row r="84" spans="1:14" ht="15.75" thickBot="1" x14ac:dyDescent="0.3">
      <c r="A84" s="610"/>
      <c r="B84" s="563"/>
      <c r="C84" s="511"/>
      <c r="D84" s="60">
        <f t="shared" si="16"/>
        <v>11861.965607453138</v>
      </c>
      <c r="E84" s="60">
        <f t="shared" si="16"/>
        <v>8239.1555344825319</v>
      </c>
      <c r="F84" s="803" t="s">
        <v>819</v>
      </c>
      <c r="G84" s="593"/>
      <c r="H84" s="593"/>
      <c r="I84" s="956">
        <f>F56+F61+I56+I61-(F67+F72+I67+I72)</f>
        <v>11499.684600162669</v>
      </c>
      <c r="J84" s="116"/>
      <c r="K84" s="610"/>
      <c r="N84" s="328"/>
    </row>
    <row r="85" spans="1:14" ht="15.75" thickBot="1" x14ac:dyDescent="0.3">
      <c r="A85" s="610"/>
      <c r="B85" s="563"/>
      <c r="C85" s="511"/>
      <c r="D85" s="60">
        <f t="shared" si="16"/>
        <v>340534.54475675803</v>
      </c>
      <c r="E85" s="60">
        <f t="shared" si="16"/>
        <v>95862.647346872836</v>
      </c>
      <c r="F85" s="803" t="s">
        <v>820</v>
      </c>
      <c r="G85" s="593"/>
      <c r="H85" s="593"/>
      <c r="I85" s="956">
        <f>F57+F62+I57+I62-(F68+F73+I68+I73)</f>
        <v>316067.35501582175</v>
      </c>
      <c r="J85" s="116"/>
      <c r="K85" s="610"/>
    </row>
    <row r="86" spans="1:14" ht="15.75" thickBot="1" x14ac:dyDescent="0.3">
      <c r="A86" s="610"/>
      <c r="B86" s="563"/>
      <c r="C86" s="604"/>
      <c r="D86" s="60">
        <f t="shared" si="16"/>
        <v>111626.64834516309</v>
      </c>
      <c r="E86" s="60">
        <f t="shared" si="16"/>
        <v>33077.941046396736</v>
      </c>
      <c r="F86" s="330" t="s">
        <v>821</v>
      </c>
      <c r="G86" s="510"/>
      <c r="H86" s="510"/>
      <c r="I86" s="587">
        <f>F58+F63+I58+I63-(F69+F74+I69+I74)</f>
        <v>103771.77761529805</v>
      </c>
      <c r="J86" s="116"/>
      <c r="K86" s="610"/>
    </row>
    <row r="87" spans="1:14" x14ac:dyDescent="0.25">
      <c r="A87" s="610"/>
      <c r="B87" s="332"/>
      <c r="C87" s="603"/>
      <c r="D87" s="600"/>
      <c r="E87" s="599"/>
      <c r="F87" s="329" t="s">
        <v>974</v>
      </c>
      <c r="G87"/>
      <c r="H87"/>
      <c r="I87" s="716">
        <f>(I82*0.00000110231)/$I$18</f>
        <v>0.5430023535823163</v>
      </c>
      <c r="J87"/>
      <c r="K87" s="610"/>
    </row>
    <row r="88" spans="1:14" x14ac:dyDescent="0.25">
      <c r="A88" s="610"/>
      <c r="B88" s="332"/>
      <c r="C88" s="511"/>
      <c r="D88" s="601"/>
      <c r="E88" s="599"/>
      <c r="F88" s="330" t="s">
        <v>975</v>
      </c>
      <c r="G88"/>
      <c r="H88"/>
      <c r="I88" s="691">
        <f t="shared" ref="I88:I91" si="17">(I83*0.00000110231)/$I$18</f>
        <v>8.6090750915923219E-4</v>
      </c>
      <c r="J88"/>
      <c r="K88" s="610"/>
    </row>
    <row r="89" spans="1:14" x14ac:dyDescent="0.25">
      <c r="A89" s="610"/>
      <c r="B89" s="332"/>
      <c r="C89" s="487"/>
      <c r="D89" s="601"/>
      <c r="E89" s="599"/>
      <c r="F89" s="330" t="s">
        <v>976</v>
      </c>
      <c r="G89"/>
      <c r="H89"/>
      <c r="I89" s="691">
        <f t="shared" si="17"/>
        <v>5.0704869326421248E-5</v>
      </c>
      <c r="J89"/>
      <c r="K89" s="610"/>
    </row>
    <row r="90" spans="1:14" x14ac:dyDescent="0.25">
      <c r="A90" s="610"/>
      <c r="B90" s="332"/>
      <c r="C90" s="511"/>
      <c r="D90" s="601"/>
      <c r="E90" s="599"/>
      <c r="F90" s="330" t="s">
        <v>977</v>
      </c>
      <c r="G90"/>
      <c r="H90"/>
      <c r="I90" s="691">
        <f t="shared" si="17"/>
        <v>1.3936168244299621E-3</v>
      </c>
      <c r="J90"/>
      <c r="K90" s="610"/>
    </row>
    <row r="91" spans="1:14" ht="15.75" thickBot="1" x14ac:dyDescent="0.3">
      <c r="A91" s="610"/>
      <c r="B91" s="332"/>
      <c r="C91" s="508"/>
      <c r="D91" s="602"/>
      <c r="E91" s="599"/>
      <c r="F91" s="331" t="s">
        <v>978</v>
      </c>
      <c r="G91" s="519"/>
      <c r="H91" s="519"/>
      <c r="I91" s="491">
        <f t="shared" si="17"/>
        <v>4.5755467273247681E-4</v>
      </c>
      <c r="J91"/>
      <c r="K91" s="610"/>
    </row>
    <row r="92" spans="1:14" ht="12" customHeight="1" x14ac:dyDescent="0.25">
      <c r="A92" s="610"/>
      <c r="B92" s="302"/>
      <c r="C92"/>
      <c r="D92"/>
      <c r="E92"/>
      <c r="F92"/>
      <c r="G92"/>
      <c r="H92"/>
      <c r="I92"/>
      <c r="J92"/>
      <c r="K92" s="610"/>
    </row>
    <row r="93" spans="1:14" ht="9" customHeight="1" x14ac:dyDescent="0.25">
      <c r="A93" s="610"/>
      <c r="B93" s="610"/>
      <c r="C93" s="610"/>
      <c r="D93" s="610"/>
      <c r="E93" s="610"/>
      <c r="F93" s="610"/>
      <c r="G93" s="610"/>
      <c r="H93" s="610"/>
      <c r="I93" s="610"/>
      <c r="J93" s="610"/>
      <c r="K93" s="610"/>
    </row>
  </sheetData>
  <mergeCells count="2">
    <mergeCell ref="C76:I76"/>
    <mergeCell ref="C3:I3"/>
  </mergeCells>
  <dataValidations disablePrompts="1" count="1">
    <dataValidation type="list" allowBlank="1" showInputMessage="1" showErrorMessage="1" sqref="F6">
      <formula1>$I$111:$I$121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OtherVariables!$I$121:$I$131</xm:f>
          </x14:formula1>
          <xm:sqref>I6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9"/>
  <sheetViews>
    <sheetView showGridLines="0" topLeftCell="A49" zoomScale="80" zoomScaleNormal="80" workbookViewId="0">
      <selection activeCell="D46" sqref="D46"/>
    </sheetView>
  </sheetViews>
  <sheetFormatPr defaultRowHeight="15" x14ac:dyDescent="0.25"/>
  <cols>
    <col min="1" max="1" width="68.42578125" bestFit="1" customWidth="1"/>
    <col min="2" max="2" width="16.7109375" style="19" customWidth="1"/>
    <col min="3" max="3" width="14.28515625" customWidth="1"/>
    <col min="4" max="4" width="150.28515625" customWidth="1"/>
  </cols>
  <sheetData>
    <row r="1" spans="1:4" ht="28.5" x14ac:dyDescent="0.25">
      <c r="A1" s="293" t="s">
        <v>694</v>
      </c>
      <c r="B1" s="751"/>
      <c r="C1" s="289"/>
      <c r="D1" s="290"/>
    </row>
    <row r="2" spans="1:4" x14ac:dyDescent="0.25">
      <c r="A2" s="291" t="s">
        <v>695</v>
      </c>
      <c r="B2" s="752" t="s">
        <v>696</v>
      </c>
      <c r="C2" s="292" t="s">
        <v>697</v>
      </c>
      <c r="D2" s="288" t="s">
        <v>698</v>
      </c>
    </row>
    <row r="3" spans="1:4" s="1001" customFormat="1" x14ac:dyDescent="0.25">
      <c r="A3" s="1311" t="s">
        <v>794</v>
      </c>
      <c r="B3" s="1312"/>
      <c r="C3" s="1312"/>
      <c r="D3" s="1313"/>
    </row>
    <row r="4" spans="1:4" s="1001" customFormat="1" ht="30" x14ac:dyDescent="0.25">
      <c r="A4" s="308" t="s">
        <v>795</v>
      </c>
      <c r="B4" s="476" t="s">
        <v>797</v>
      </c>
      <c r="C4" s="308"/>
      <c r="D4" s="893" t="s">
        <v>798</v>
      </c>
    </row>
    <row r="5" spans="1:4" x14ac:dyDescent="0.25">
      <c r="A5" s="1311" t="s">
        <v>243</v>
      </c>
      <c r="B5" s="1312"/>
      <c r="C5" s="1312"/>
      <c r="D5" s="1313"/>
    </row>
    <row r="6" spans="1:4" x14ac:dyDescent="0.25">
      <c r="A6" s="308" t="s">
        <v>249</v>
      </c>
      <c r="B6" s="476" t="s">
        <v>706</v>
      </c>
      <c r="C6" s="308" t="s">
        <v>705</v>
      </c>
      <c r="D6" s="308" t="s">
        <v>250</v>
      </c>
    </row>
    <row r="7" spans="1:4" x14ac:dyDescent="0.25">
      <c r="A7" s="308" t="s">
        <v>254</v>
      </c>
      <c r="B7" s="476">
        <v>30</v>
      </c>
      <c r="C7" s="308" t="s">
        <v>704</v>
      </c>
      <c r="D7" s="308" t="s">
        <v>255</v>
      </c>
    </row>
    <row r="8" spans="1:4" x14ac:dyDescent="0.25">
      <c r="A8" s="308" t="s">
        <v>708</v>
      </c>
      <c r="B8" s="476"/>
      <c r="C8" s="308" t="s">
        <v>707</v>
      </c>
      <c r="D8" s="307" t="s">
        <v>723</v>
      </c>
    </row>
    <row r="9" spans="1:4" x14ac:dyDescent="0.25">
      <c r="A9" s="1311" t="s">
        <v>74</v>
      </c>
      <c r="B9" s="1312"/>
      <c r="C9" s="1312"/>
      <c r="D9" s="1313"/>
    </row>
    <row r="10" spans="1:4" ht="30" customHeight="1" x14ac:dyDescent="0.25">
      <c r="A10" s="893" t="s">
        <v>295</v>
      </c>
      <c r="B10" s="892">
        <v>0.92</v>
      </c>
      <c r="C10" s="308"/>
      <c r="D10" s="893" t="s">
        <v>968</v>
      </c>
    </row>
    <row r="11" spans="1:4" s="1001" customFormat="1" ht="30" customHeight="1" x14ac:dyDescent="0.25">
      <c r="A11" s="893" t="s">
        <v>969</v>
      </c>
      <c r="B11" s="892">
        <v>0.77200000000000002</v>
      </c>
      <c r="C11" s="308"/>
      <c r="D11" s="893" t="s">
        <v>296</v>
      </c>
    </row>
    <row r="12" spans="1:4" s="1001" customFormat="1" x14ac:dyDescent="0.25">
      <c r="A12" s="308" t="s">
        <v>297</v>
      </c>
      <c r="B12" s="754">
        <v>1.9</v>
      </c>
      <c r="C12" s="308"/>
      <c r="D12" s="307" t="s">
        <v>970</v>
      </c>
    </row>
    <row r="13" spans="1:4" s="1001" customFormat="1" x14ac:dyDescent="0.25">
      <c r="A13" s="308" t="s">
        <v>298</v>
      </c>
      <c r="B13" s="754">
        <v>3.6</v>
      </c>
      <c r="C13" s="308"/>
      <c r="D13" s="307" t="s">
        <v>970</v>
      </c>
    </row>
    <row r="14" spans="1:4" x14ac:dyDescent="0.25">
      <c r="A14" s="308" t="s">
        <v>971</v>
      </c>
      <c r="B14" s="754">
        <v>0.83</v>
      </c>
      <c r="C14" s="308"/>
      <c r="D14" s="307" t="s">
        <v>770</v>
      </c>
    </row>
    <row r="15" spans="1:4" x14ac:dyDescent="0.25">
      <c r="A15" s="308" t="s">
        <v>972</v>
      </c>
      <c r="B15" s="754">
        <v>5.5</v>
      </c>
      <c r="C15" s="308"/>
      <c r="D15" s="307" t="s">
        <v>770</v>
      </c>
    </row>
    <row r="16" spans="1:4" s="302" customFormat="1" x14ac:dyDescent="0.25">
      <c r="A16" s="308" t="s">
        <v>772</v>
      </c>
      <c r="B16" s="476">
        <v>1800</v>
      </c>
      <c r="C16" s="308" t="s">
        <v>771</v>
      </c>
      <c r="D16" s="307" t="s">
        <v>774</v>
      </c>
    </row>
    <row r="17" spans="1:5" s="302" customFormat="1" x14ac:dyDescent="0.25">
      <c r="A17" s="308" t="s">
        <v>773</v>
      </c>
      <c r="B17" s="476">
        <v>1800</v>
      </c>
      <c r="C17" s="308" t="s">
        <v>771</v>
      </c>
      <c r="D17" s="307" t="s">
        <v>774</v>
      </c>
    </row>
    <row r="18" spans="1:5" s="302" customFormat="1" x14ac:dyDescent="0.25">
      <c r="A18" s="308" t="s">
        <v>776</v>
      </c>
      <c r="B18" s="755" t="s">
        <v>764</v>
      </c>
      <c r="C18" s="308" t="s">
        <v>775</v>
      </c>
      <c r="D18" s="307" t="s">
        <v>777</v>
      </c>
    </row>
    <row r="19" spans="1:5" s="302" customFormat="1" ht="17.25" customHeight="1" x14ac:dyDescent="0.25">
      <c r="A19" s="308" t="s">
        <v>302</v>
      </c>
      <c r="B19" s="754">
        <v>0.9</v>
      </c>
      <c r="C19" s="308"/>
      <c r="D19" s="307" t="s">
        <v>778</v>
      </c>
    </row>
    <row r="20" spans="1:5" s="302" customFormat="1" x14ac:dyDescent="0.25">
      <c r="A20" s="308" t="s">
        <v>303</v>
      </c>
      <c r="B20" s="754">
        <v>0.93</v>
      </c>
      <c r="C20" s="308"/>
      <c r="D20" s="307" t="s">
        <v>779</v>
      </c>
    </row>
    <row r="21" spans="1:5" x14ac:dyDescent="0.25">
      <c r="A21" s="1311" t="s">
        <v>197</v>
      </c>
      <c r="B21" s="1312"/>
      <c r="C21" s="1312"/>
      <c r="D21" s="1313"/>
    </row>
    <row r="22" spans="1:5" x14ac:dyDescent="0.25">
      <c r="A22" s="308"/>
      <c r="B22" s="476"/>
      <c r="C22" s="308"/>
      <c r="D22" s="307"/>
    </row>
    <row r="23" spans="1:5" x14ac:dyDescent="0.25">
      <c r="A23" s="308"/>
      <c r="B23" s="476"/>
      <c r="C23" s="308"/>
      <c r="D23" s="307"/>
    </row>
    <row r="24" spans="1:5" x14ac:dyDescent="0.25">
      <c r="A24" s="308"/>
      <c r="B24" s="476"/>
      <c r="C24" s="308"/>
      <c r="D24" s="307"/>
    </row>
    <row r="25" spans="1:5" x14ac:dyDescent="0.25">
      <c r="A25" s="1311" t="s">
        <v>729</v>
      </c>
      <c r="B25" s="1312"/>
      <c r="C25" s="1312"/>
      <c r="D25" s="1313"/>
    </row>
    <row r="26" spans="1:5" ht="30" x14ac:dyDescent="0.25">
      <c r="A26" s="308" t="s">
        <v>615</v>
      </c>
      <c r="B26" s="755" t="s">
        <v>768</v>
      </c>
      <c r="C26" s="308"/>
      <c r="D26" s="307" t="s">
        <v>616</v>
      </c>
    </row>
    <row r="27" spans="1:5" x14ac:dyDescent="0.25">
      <c r="A27" s="308" t="s">
        <v>769</v>
      </c>
      <c r="B27" s="476"/>
      <c r="C27" s="308"/>
      <c r="D27" s="307" t="s">
        <v>671</v>
      </c>
      <c r="E27" s="302"/>
    </row>
    <row r="28" spans="1:5" x14ac:dyDescent="0.25">
      <c r="A28" s="1311" t="s">
        <v>730</v>
      </c>
      <c r="B28" s="1312"/>
      <c r="C28" s="1312"/>
      <c r="D28" s="1313"/>
    </row>
    <row r="29" spans="1:5" x14ac:dyDescent="0.25">
      <c r="A29" s="308" t="s">
        <v>733</v>
      </c>
      <c r="B29" s="476">
        <v>400</v>
      </c>
      <c r="C29" s="308" t="s">
        <v>732</v>
      </c>
      <c r="D29" s="307" t="s">
        <v>107</v>
      </c>
    </row>
    <row r="30" spans="1:5" x14ac:dyDescent="0.25">
      <c r="A30" s="308" t="s">
        <v>85</v>
      </c>
      <c r="B30" s="644">
        <v>0.5</v>
      </c>
      <c r="C30" s="308"/>
      <c r="D30" s="307" t="s">
        <v>734</v>
      </c>
    </row>
    <row r="31" spans="1:5" x14ac:dyDescent="0.25">
      <c r="A31" s="308" t="s">
        <v>109</v>
      </c>
      <c r="B31" s="476">
        <v>1700</v>
      </c>
      <c r="C31" s="308" t="s">
        <v>735</v>
      </c>
      <c r="D31" s="307" t="s">
        <v>110</v>
      </c>
    </row>
    <row r="32" spans="1:5" x14ac:dyDescent="0.25">
      <c r="A32" s="308" t="s">
        <v>111</v>
      </c>
      <c r="B32" s="476" t="s">
        <v>736</v>
      </c>
      <c r="C32" s="308"/>
      <c r="D32" s="307" t="s">
        <v>737</v>
      </c>
    </row>
    <row r="33" spans="1:5" x14ac:dyDescent="0.25">
      <c r="A33" s="308" t="s">
        <v>112</v>
      </c>
      <c r="B33" s="644">
        <v>0.9</v>
      </c>
      <c r="C33" s="308"/>
      <c r="D33" s="307" t="s">
        <v>113</v>
      </c>
    </row>
    <row r="34" spans="1:5" x14ac:dyDescent="0.25">
      <c r="A34" s="308" t="s">
        <v>739</v>
      </c>
      <c r="B34" s="476">
        <v>80</v>
      </c>
      <c r="C34" s="308" t="s">
        <v>738</v>
      </c>
      <c r="D34" s="307" t="s">
        <v>114</v>
      </c>
    </row>
    <row r="35" spans="1:5" x14ac:dyDescent="0.25">
      <c r="A35" s="1311" t="s">
        <v>731</v>
      </c>
      <c r="B35" s="1312"/>
      <c r="C35" s="1312"/>
      <c r="D35" s="1313"/>
    </row>
    <row r="36" spans="1:5" x14ac:dyDescent="0.25">
      <c r="A36" s="308" t="s">
        <v>85</v>
      </c>
      <c r="B36" s="644">
        <v>0.5</v>
      </c>
      <c r="C36" s="308"/>
      <c r="D36" s="307" t="s">
        <v>734</v>
      </c>
    </row>
    <row r="37" spans="1:5" x14ac:dyDescent="0.25">
      <c r="A37" s="1311" t="s">
        <v>566</v>
      </c>
      <c r="B37" s="1312"/>
      <c r="C37" s="1312"/>
      <c r="D37" s="1313"/>
    </row>
    <row r="38" spans="1:5" x14ac:dyDescent="0.25">
      <c r="A38" s="308" t="s">
        <v>456</v>
      </c>
      <c r="B38" s="476">
        <v>4</v>
      </c>
      <c r="C38" s="308"/>
      <c r="D38" s="307" t="s">
        <v>562</v>
      </c>
    </row>
    <row r="39" spans="1:5" x14ac:dyDescent="0.25">
      <c r="A39" s="308" t="s">
        <v>71</v>
      </c>
      <c r="B39" s="476">
        <v>250</v>
      </c>
      <c r="C39" s="308"/>
      <c r="D39" s="307" t="s">
        <v>72</v>
      </c>
    </row>
    <row r="40" spans="1:5" x14ac:dyDescent="0.25">
      <c r="A40" s="308" t="s">
        <v>742</v>
      </c>
      <c r="B40" s="476" t="s">
        <v>741</v>
      </c>
      <c r="C40" s="308" t="s">
        <v>743</v>
      </c>
      <c r="D40" s="307" t="s">
        <v>412</v>
      </c>
      <c r="E40" s="302"/>
    </row>
    <row r="41" spans="1:5" x14ac:dyDescent="0.25">
      <c r="A41" s="1311" t="s">
        <v>423</v>
      </c>
      <c r="B41" s="1312"/>
      <c r="C41" s="1312"/>
      <c r="D41" s="1313"/>
    </row>
    <row r="42" spans="1:5" x14ac:dyDescent="0.25">
      <c r="A42" s="308" t="s">
        <v>745</v>
      </c>
      <c r="B42" s="753">
        <v>37009</v>
      </c>
      <c r="C42" s="308" t="s">
        <v>746</v>
      </c>
      <c r="D42" s="307" t="s">
        <v>973</v>
      </c>
    </row>
    <row r="43" spans="1:5" x14ac:dyDescent="0.25">
      <c r="A43" s="1311" t="s">
        <v>410</v>
      </c>
      <c r="B43" s="1312"/>
      <c r="C43" s="1312"/>
      <c r="D43" s="1313"/>
    </row>
    <row r="44" spans="1:5" x14ac:dyDescent="0.25">
      <c r="A44" s="308" t="s">
        <v>355</v>
      </c>
      <c r="B44" s="476" t="s">
        <v>706</v>
      </c>
      <c r="C44" s="308"/>
      <c r="D44" s="307" t="s">
        <v>374</v>
      </c>
    </row>
    <row r="45" spans="1:5" x14ac:dyDescent="0.25">
      <c r="A45" s="308" t="s">
        <v>183</v>
      </c>
      <c r="B45" s="476" t="s">
        <v>706</v>
      </c>
      <c r="C45" s="308"/>
      <c r="D45" s="307" t="s">
        <v>352</v>
      </c>
    </row>
    <row r="46" spans="1:5" x14ac:dyDescent="0.25">
      <c r="A46" s="308" t="s">
        <v>844</v>
      </c>
      <c r="B46" s="631">
        <v>0.3</v>
      </c>
      <c r="C46" s="308"/>
      <c r="D46" s="307" t="s">
        <v>852</v>
      </c>
    </row>
    <row r="47" spans="1:5" x14ac:dyDescent="0.25">
      <c r="A47" s="308" t="s">
        <v>845</v>
      </c>
      <c r="B47" s="631">
        <v>0.9</v>
      </c>
      <c r="C47" s="308"/>
      <c r="D47" s="307" t="s">
        <v>853</v>
      </c>
    </row>
    <row r="48" spans="1:5" x14ac:dyDescent="0.25">
      <c r="A48" s="308" t="s">
        <v>846</v>
      </c>
      <c r="B48" s="631">
        <v>0.55000000000000004</v>
      </c>
      <c r="C48" s="308"/>
      <c r="D48" s="307" t="s">
        <v>854</v>
      </c>
    </row>
    <row r="49" spans="1:4" s="1001" customFormat="1" x14ac:dyDescent="0.25">
      <c r="A49" s="308" t="s">
        <v>847</v>
      </c>
      <c r="B49" s="631">
        <v>0.9</v>
      </c>
      <c r="C49" s="308"/>
      <c r="D49" s="307" t="s">
        <v>853</v>
      </c>
    </row>
    <row r="50" spans="1:4" x14ac:dyDescent="0.25">
      <c r="A50" s="1311" t="s">
        <v>748</v>
      </c>
      <c r="B50" s="1312"/>
      <c r="C50" s="1312"/>
      <c r="D50" s="1313"/>
    </row>
    <row r="51" spans="1:4" x14ac:dyDescent="0.25">
      <c r="A51" s="308" t="s">
        <v>363</v>
      </c>
      <c r="B51" s="476"/>
      <c r="C51" s="308"/>
      <c r="D51" s="625" t="s">
        <v>407</v>
      </c>
    </row>
    <row r="52" spans="1:4" x14ac:dyDescent="0.25">
      <c r="A52" s="308" t="s">
        <v>753</v>
      </c>
      <c r="B52" s="644">
        <v>1.8</v>
      </c>
      <c r="C52" s="308" t="s">
        <v>746</v>
      </c>
      <c r="D52" s="625" t="s">
        <v>754</v>
      </c>
    </row>
    <row r="53" spans="1:4" x14ac:dyDescent="0.25">
      <c r="A53" s="308" t="s">
        <v>752</v>
      </c>
      <c r="B53" s="754">
        <v>0.98</v>
      </c>
      <c r="C53" s="308" t="s">
        <v>746</v>
      </c>
      <c r="D53" s="307" t="s">
        <v>757</v>
      </c>
    </row>
    <row r="54" spans="1:4" x14ac:dyDescent="0.25">
      <c r="A54" s="308" t="s">
        <v>751</v>
      </c>
      <c r="B54" s="644" t="s">
        <v>750</v>
      </c>
      <c r="C54" s="308" t="s">
        <v>746</v>
      </c>
      <c r="D54" s="307" t="s">
        <v>749</v>
      </c>
    </row>
    <row r="55" spans="1:4" x14ac:dyDescent="0.25">
      <c r="A55" s="308" t="s">
        <v>32</v>
      </c>
      <c r="B55" s="476" t="s">
        <v>706</v>
      </c>
      <c r="C55" s="308"/>
      <c r="D55" s="307" t="s">
        <v>368</v>
      </c>
    </row>
    <row r="56" spans="1:4" x14ac:dyDescent="0.25">
      <c r="A56" s="308" t="s">
        <v>25</v>
      </c>
      <c r="B56" s="754">
        <v>0.91</v>
      </c>
      <c r="C56" s="308"/>
      <c r="D56" s="307" t="s">
        <v>755</v>
      </c>
    </row>
    <row r="57" spans="1:4" x14ac:dyDescent="0.25">
      <c r="A57" s="308" t="s">
        <v>45</v>
      </c>
      <c r="B57" s="631">
        <v>0.04</v>
      </c>
      <c r="C57" s="308"/>
      <c r="D57" s="307" t="s">
        <v>242</v>
      </c>
    </row>
    <row r="58" spans="1:4" x14ac:dyDescent="0.25">
      <c r="A58" s="308" t="s">
        <v>191</v>
      </c>
      <c r="B58" s="631">
        <v>0.1</v>
      </c>
      <c r="C58" s="308"/>
      <c r="D58" s="307" t="s">
        <v>364</v>
      </c>
    </row>
    <row r="59" spans="1:4" x14ac:dyDescent="0.25">
      <c r="A59" s="308" t="s">
        <v>375</v>
      </c>
      <c r="B59" s="754">
        <v>0.71</v>
      </c>
      <c r="C59" s="308"/>
      <c r="D59" s="307" t="s">
        <v>756</v>
      </c>
    </row>
    <row r="60" spans="1:4" x14ac:dyDescent="0.25">
      <c r="A60" s="308" t="s">
        <v>376</v>
      </c>
      <c r="B60" s="754">
        <v>2.1</v>
      </c>
      <c r="C60" s="308"/>
      <c r="D60" s="307" t="s">
        <v>756</v>
      </c>
    </row>
    <row r="61" spans="1:4" s="302" customFormat="1" x14ac:dyDescent="0.25">
      <c r="A61" s="1311" t="s">
        <v>784</v>
      </c>
      <c r="B61" s="1312"/>
      <c r="C61" s="1312"/>
      <c r="D61" s="1313"/>
    </row>
    <row r="62" spans="1:4" s="302" customFormat="1" x14ac:dyDescent="0.25">
      <c r="A62" s="308" t="s">
        <v>691</v>
      </c>
      <c r="B62" s="644" t="s">
        <v>706</v>
      </c>
      <c r="C62" s="308"/>
      <c r="D62" s="307" t="s">
        <v>721</v>
      </c>
    </row>
    <row r="63" spans="1:4" s="302" customFormat="1" x14ac:dyDescent="0.25">
      <c r="A63" s="308" t="s">
        <v>190</v>
      </c>
      <c r="B63" s="644" t="s">
        <v>706</v>
      </c>
      <c r="C63" s="308"/>
      <c r="D63" s="307" t="s">
        <v>788</v>
      </c>
    </row>
    <row r="64" spans="1:4" s="302" customFormat="1" x14ac:dyDescent="0.25">
      <c r="A64" s="308" t="s">
        <v>363</v>
      </c>
      <c r="B64" s="644" t="s">
        <v>706</v>
      </c>
      <c r="C64" s="308"/>
      <c r="D64" s="307" t="s">
        <v>407</v>
      </c>
    </row>
    <row r="65" spans="1:4" s="302" customFormat="1" x14ac:dyDescent="0.25">
      <c r="A65" s="308" t="s">
        <v>753</v>
      </c>
      <c r="B65" s="644">
        <v>1.8</v>
      </c>
      <c r="C65" s="308" t="s">
        <v>746</v>
      </c>
      <c r="D65" s="307" t="s">
        <v>367</v>
      </c>
    </row>
    <row r="66" spans="1:4" s="302" customFormat="1" x14ac:dyDescent="0.25">
      <c r="A66" s="308" t="s">
        <v>752</v>
      </c>
      <c r="B66" s="644">
        <v>1</v>
      </c>
      <c r="C66" s="308" t="s">
        <v>746</v>
      </c>
      <c r="D66" s="307" t="s">
        <v>366</v>
      </c>
    </row>
    <row r="67" spans="1:4" s="302" customFormat="1" x14ac:dyDescent="0.25">
      <c r="A67" s="308" t="s">
        <v>375</v>
      </c>
      <c r="B67" s="754">
        <v>0.71</v>
      </c>
      <c r="C67" s="308"/>
      <c r="D67" s="307" t="s">
        <v>783</v>
      </c>
    </row>
    <row r="68" spans="1:4" s="302" customFormat="1" x14ac:dyDescent="0.25">
      <c r="A68" s="308" t="s">
        <v>376</v>
      </c>
      <c r="B68" s="754">
        <v>2.1</v>
      </c>
      <c r="C68" s="308"/>
      <c r="D68" s="307" t="s">
        <v>783</v>
      </c>
    </row>
    <row r="69" spans="1:4" s="302" customFormat="1" x14ac:dyDescent="0.25">
      <c r="A69" s="308" t="s">
        <v>785</v>
      </c>
      <c r="B69" s="631">
        <v>0.11</v>
      </c>
      <c r="C69" s="308"/>
      <c r="D69" s="307" t="s">
        <v>787</v>
      </c>
    </row>
    <row r="70" spans="1:4" s="302" customFormat="1" x14ac:dyDescent="0.25">
      <c r="A70" s="978" t="s">
        <v>786</v>
      </c>
      <c r="B70" s="631">
        <v>0.08</v>
      </c>
      <c r="C70" s="308"/>
      <c r="D70" s="307" t="s">
        <v>787</v>
      </c>
    </row>
    <row r="71" spans="1:4" x14ac:dyDescent="0.25">
      <c r="A71" s="1311" t="s">
        <v>761</v>
      </c>
      <c r="B71" s="1312"/>
      <c r="C71" s="1312"/>
      <c r="D71" s="1313"/>
    </row>
    <row r="72" spans="1:4" x14ac:dyDescent="0.25">
      <c r="A72" s="308" t="s">
        <v>51</v>
      </c>
      <c r="B72" s="644">
        <v>1.2</v>
      </c>
      <c r="C72" s="308"/>
      <c r="D72" s="307" t="s">
        <v>346</v>
      </c>
    </row>
    <row r="73" spans="1:4" x14ac:dyDescent="0.25">
      <c r="A73" s="308" t="s">
        <v>271</v>
      </c>
      <c r="B73" s="476">
        <v>34</v>
      </c>
      <c r="C73" s="308"/>
      <c r="D73" s="307" t="s">
        <v>269</v>
      </c>
    </row>
    <row r="74" spans="1:4" x14ac:dyDescent="0.25">
      <c r="A74" s="308" t="s">
        <v>347</v>
      </c>
      <c r="B74" s="476">
        <v>250</v>
      </c>
      <c r="C74" s="308"/>
      <c r="D74" s="307" t="s">
        <v>359</v>
      </c>
    </row>
    <row r="75" spans="1:4" x14ac:dyDescent="0.25">
      <c r="A75" s="308" t="s">
        <v>762</v>
      </c>
      <c r="B75" s="476">
        <v>16</v>
      </c>
      <c r="C75" s="308" t="s">
        <v>746</v>
      </c>
      <c r="D75" s="307" t="s">
        <v>346</v>
      </c>
    </row>
    <row r="76" spans="1:4" ht="30" x14ac:dyDescent="0.25">
      <c r="A76" s="308" t="s">
        <v>270</v>
      </c>
      <c r="B76" s="755" t="s">
        <v>764</v>
      </c>
      <c r="C76" s="308"/>
      <c r="D76" s="743" t="s">
        <v>763</v>
      </c>
    </row>
    <row r="77" spans="1:4" s="302" customFormat="1" x14ac:dyDescent="0.25">
      <c r="A77" s="308" t="s">
        <v>570</v>
      </c>
      <c r="B77" s="631">
        <v>0.26</v>
      </c>
      <c r="C77" s="308"/>
      <c r="D77" s="972" t="s">
        <v>572</v>
      </c>
    </row>
    <row r="78" spans="1:4" s="302" customFormat="1" x14ac:dyDescent="0.25">
      <c r="A78" s="308" t="s">
        <v>571</v>
      </c>
      <c r="B78" s="631">
        <v>0.22</v>
      </c>
      <c r="C78" s="308"/>
      <c r="D78" s="307" t="s">
        <v>682</v>
      </c>
    </row>
    <row r="79" spans="1:4" s="302" customFormat="1" x14ac:dyDescent="0.25">
      <c r="A79" s="308" t="s">
        <v>569</v>
      </c>
      <c r="B79" s="754">
        <v>-0.54</v>
      </c>
      <c r="C79" s="308"/>
      <c r="D79" s="972" t="s">
        <v>573</v>
      </c>
    </row>
    <row r="80" spans="1:4" x14ac:dyDescent="0.25">
      <c r="A80" s="1311" t="s">
        <v>568</v>
      </c>
      <c r="B80" s="1312"/>
      <c r="C80" s="1312"/>
      <c r="D80" s="1313"/>
    </row>
    <row r="81" spans="1:5" x14ac:dyDescent="0.25">
      <c r="A81" s="308" t="s">
        <v>594</v>
      </c>
      <c r="B81" s="631">
        <v>0.1</v>
      </c>
      <c r="C81" s="308"/>
      <c r="D81" s="307" t="s">
        <v>686</v>
      </c>
    </row>
    <row r="82" spans="1:5" x14ac:dyDescent="0.25">
      <c r="A82" s="308" t="s">
        <v>85</v>
      </c>
      <c r="B82" s="644">
        <v>0.5</v>
      </c>
      <c r="C82" s="308"/>
      <c r="D82" s="307" t="s">
        <v>734</v>
      </c>
    </row>
    <row r="83" spans="1:5" x14ac:dyDescent="0.25">
      <c r="A83" s="308" t="s">
        <v>578</v>
      </c>
      <c r="B83" s="644">
        <v>-0.4</v>
      </c>
      <c r="C83" s="308"/>
      <c r="D83" s="307" t="s">
        <v>595</v>
      </c>
    </row>
    <row r="84" spans="1:5" x14ac:dyDescent="0.25">
      <c r="A84" s="308" t="s">
        <v>608</v>
      </c>
      <c r="B84" s="476">
        <v>16</v>
      </c>
      <c r="C84" s="308"/>
      <c r="D84" s="307" t="s">
        <v>346</v>
      </c>
    </row>
    <row r="85" spans="1:5" x14ac:dyDescent="0.25">
      <c r="A85" s="308" t="s">
        <v>582</v>
      </c>
      <c r="B85" s="755" t="s">
        <v>765</v>
      </c>
      <c r="C85" s="308"/>
      <c r="D85" s="307" t="s">
        <v>766</v>
      </c>
      <c r="E85" s="296"/>
    </row>
    <row r="86" spans="1:5" x14ac:dyDescent="0.25">
      <c r="A86" s="590"/>
      <c r="B86" s="756"/>
      <c r="C86" s="749"/>
      <c r="D86" s="749"/>
      <c r="E86" s="296"/>
    </row>
    <row r="87" spans="1:5" x14ac:dyDescent="0.25">
      <c r="A87" s="303"/>
      <c r="B87" s="756"/>
      <c r="C87" s="749"/>
      <c r="D87" s="749"/>
    </row>
    <row r="88" spans="1:5" x14ac:dyDescent="0.25">
      <c r="A88" s="590"/>
      <c r="B88" s="757"/>
      <c r="C88" s="750"/>
      <c r="D88" s="750"/>
      <c r="E88" s="302"/>
    </row>
    <row r="89" spans="1:5" x14ac:dyDescent="0.25">
      <c r="A89" s="303"/>
      <c r="B89" s="757"/>
      <c r="C89" s="750"/>
      <c r="D89" s="750"/>
    </row>
  </sheetData>
  <mergeCells count="14">
    <mergeCell ref="A3:D3"/>
    <mergeCell ref="A71:D71"/>
    <mergeCell ref="A80:D80"/>
    <mergeCell ref="A5:D5"/>
    <mergeCell ref="A9:D9"/>
    <mergeCell ref="A21:D21"/>
    <mergeCell ref="A25:D25"/>
    <mergeCell ref="A43:D43"/>
    <mergeCell ref="A50:D50"/>
    <mergeCell ref="A28:D28"/>
    <mergeCell ref="A35:D35"/>
    <mergeCell ref="A37:D37"/>
    <mergeCell ref="A41:D41"/>
    <mergeCell ref="A61:D61"/>
  </mergeCells>
  <hyperlinks>
    <hyperlink ref="D73" r:id="rId1" display="http://www.travelbehavior.us/Nancy-pdfs/Mode Share.pdf"/>
    <hyperlink ref="D76" r:id="rId2" display="http://www.cutr.usf.edu/research/propensity.PDF"/>
    <hyperlink ref="D83" r:id="rId3"/>
    <hyperlink ref="D85" r:id="rId4" display="http://www.sciencedirect.com/science/article/pii/S1877042811010275 , takes into effect how long transit hours of service"/>
    <hyperlink ref="D77" r:id="rId5"/>
    <hyperlink ref="D79" r:id="rId6"/>
  </hyperlinks>
  <pageMargins left="0.7" right="0.7" top="0.75" bottom="0.75" header="0.3" footer="0.3"/>
  <pageSetup orientation="portrait" r:id="rId7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7"/>
  <sheetViews>
    <sheetView zoomScale="70" zoomScaleNormal="70" workbookViewId="0">
      <selection activeCell="B12" sqref="B12"/>
    </sheetView>
  </sheetViews>
  <sheetFormatPr defaultColWidth="45" defaultRowHeight="15" x14ac:dyDescent="0.25"/>
  <cols>
    <col min="1" max="1" width="45.5703125" style="1001" customWidth="1"/>
    <col min="2" max="3" width="12.28515625" style="1001" customWidth="1"/>
    <col min="4" max="4" width="21.140625" style="1001" customWidth="1"/>
    <col min="5" max="5" width="19.85546875" style="1001" customWidth="1"/>
    <col min="6" max="7" width="20.28515625" style="1001" customWidth="1"/>
    <col min="8" max="8" width="18.7109375" style="1001" customWidth="1"/>
    <col min="9" max="9" width="23.5703125" style="1001" customWidth="1"/>
    <col min="10" max="10" width="27" style="1001" customWidth="1"/>
    <col min="11" max="11" width="23.28515625" style="1001" bestFit="1" customWidth="1"/>
    <col min="12" max="12" width="18.28515625" style="1001" bestFit="1" customWidth="1"/>
    <col min="13" max="13" width="19.5703125" style="1001" bestFit="1" customWidth="1"/>
    <col min="14" max="14" width="21.140625" style="1001" bestFit="1" customWidth="1"/>
    <col min="15" max="17" width="12.28515625" style="1001" bestFit="1" customWidth="1"/>
    <col min="18" max="18" width="61.42578125" style="1001" customWidth="1"/>
    <col min="19" max="20" width="12.28515625" style="1001" bestFit="1" customWidth="1"/>
    <col min="21" max="21" width="11.7109375" style="1001" customWidth="1"/>
    <col min="22" max="22" width="15.140625" style="1001" bestFit="1" customWidth="1"/>
    <col min="23" max="23" width="13.85546875" style="1001" bestFit="1" customWidth="1"/>
    <col min="24" max="25" width="20.140625" style="1001" customWidth="1"/>
    <col min="26" max="26" width="14.140625" style="1001" bestFit="1" customWidth="1"/>
    <col min="27" max="27" width="21.42578125" style="1001" customWidth="1"/>
    <col min="28" max="28" width="17" style="1001" customWidth="1"/>
    <col min="29" max="29" width="21.140625" style="1001" bestFit="1" customWidth="1"/>
    <col min="30" max="16384" width="45" style="1001"/>
  </cols>
  <sheetData>
    <row r="1" spans="1:31" ht="60" x14ac:dyDescent="0.25">
      <c r="B1" s="1168" t="s">
        <v>384</v>
      </c>
      <c r="C1" s="221" t="s">
        <v>381</v>
      </c>
      <c r="D1" s="221" t="s">
        <v>382</v>
      </c>
      <c r="E1" s="1168" t="s">
        <v>482</v>
      </c>
      <c r="F1" s="1168" t="s">
        <v>483</v>
      </c>
      <c r="G1" s="1168" t="s">
        <v>484</v>
      </c>
      <c r="H1" s="1168" t="s">
        <v>520</v>
      </c>
      <c r="I1" s="1183" t="s">
        <v>917</v>
      </c>
      <c r="J1" s="1182" t="s">
        <v>916</v>
      </c>
      <c r="K1" s="1182" t="s">
        <v>915</v>
      </c>
      <c r="L1" s="1182" t="s">
        <v>914</v>
      </c>
      <c r="M1" s="1182" t="s">
        <v>913</v>
      </c>
      <c r="N1" s="1182" t="s">
        <v>912</v>
      </c>
      <c r="O1" s="1182" t="s">
        <v>911</v>
      </c>
      <c r="P1" s="1181" t="s">
        <v>910</v>
      </c>
      <c r="Q1" s="1180" t="s">
        <v>909</v>
      </c>
      <c r="S1" s="1168" t="s">
        <v>554</v>
      </c>
      <c r="T1" s="1168" t="s">
        <v>502</v>
      </c>
      <c r="U1" s="1168" t="s">
        <v>519</v>
      </c>
      <c r="V1" s="1168" t="s">
        <v>908</v>
      </c>
      <c r="W1" s="1179" t="s">
        <v>907</v>
      </c>
      <c r="X1" s="1179" t="s">
        <v>906</v>
      </c>
      <c r="Y1" s="1179" t="s">
        <v>905</v>
      </c>
      <c r="Z1" s="1168" t="s">
        <v>904</v>
      </c>
      <c r="AA1" s="1179" t="s">
        <v>903</v>
      </c>
      <c r="AB1" s="1179" t="s">
        <v>902</v>
      </c>
      <c r="AC1" s="1179" t="s">
        <v>901</v>
      </c>
      <c r="AD1" s="1179" t="s">
        <v>900</v>
      </c>
      <c r="AE1" s="1168" t="s">
        <v>555</v>
      </c>
    </row>
    <row r="2" spans="1:31" x14ac:dyDescent="0.25">
      <c r="A2" s="1001" t="s">
        <v>525</v>
      </c>
      <c r="B2" s="215">
        <f>B57</f>
        <v>1390.9183284656999</v>
      </c>
      <c r="C2" s="215">
        <f>G57</f>
        <v>1158.6279649998201</v>
      </c>
      <c r="D2" s="303">
        <f t="shared" ref="D2:D11" si="0">C2</f>
        <v>1158.6279649998201</v>
      </c>
      <c r="E2" s="215">
        <f>0.8*B2</f>
        <v>1112.7346627725599</v>
      </c>
      <c r="F2" s="228">
        <f>F24*F26/1000000*1000*F28</f>
        <v>10207.796603454626</v>
      </c>
      <c r="G2" s="228">
        <f>G24*G26/1000000*1000*G28</f>
        <v>27456.477762355949</v>
      </c>
      <c r="H2" s="228">
        <f>H24*H26/1000000*1000*H28</f>
        <v>1300.3310819054645</v>
      </c>
      <c r="I2" s="1178">
        <f>I24*I26/1000000*1000*I28</f>
        <v>341.71915458405175</v>
      </c>
      <c r="J2" s="1177">
        <f>(I2/S2)*W2</f>
        <v>483.91638931874598</v>
      </c>
      <c r="K2" s="1177">
        <f>(I2/S2)*X2</f>
        <v>480.0633716250112</v>
      </c>
      <c r="L2" s="1177">
        <f>(1-0.085)*S2</f>
        <v>371.54358825810272</v>
      </c>
      <c r="M2" s="1177">
        <f>(1-0.085)*W2</f>
        <v>526.15145885879201</v>
      </c>
      <c r="N2" s="1177">
        <f>(1-0.085)*X2</f>
        <v>521.96215896047431</v>
      </c>
      <c r="O2" s="1177">
        <f>(1-0.085)*Y2</f>
        <v>1061.4877495321016</v>
      </c>
      <c r="P2" s="1177">
        <f>(1-0.085)*Z2</f>
        <v>980.61337521557664</v>
      </c>
      <c r="Q2" s="1176">
        <f>228*1.026</f>
        <v>233.928</v>
      </c>
      <c r="R2" s="1001" t="s">
        <v>544</v>
      </c>
      <c r="S2" s="216">
        <v>406.05856640229803</v>
      </c>
      <c r="T2" s="216">
        <v>1389.48214554682</v>
      </c>
      <c r="U2" s="216">
        <v>1848.8774445863801</v>
      </c>
      <c r="V2" s="1001">
        <v>406.06991895131</v>
      </c>
      <c r="W2" s="1001">
        <v>575.028916785565</v>
      </c>
      <c r="X2" s="1001">
        <v>570.45044695133799</v>
      </c>
      <c r="Y2" s="1001">
        <v>1160.0959011279799</v>
      </c>
      <c r="Z2" s="216">
        <v>1071.7086067929799</v>
      </c>
      <c r="AA2" s="1001">
        <v>444.160033192973</v>
      </c>
      <c r="AB2" s="1001">
        <v>758.21498510469098</v>
      </c>
      <c r="AC2" s="1001">
        <v>752.68106116842</v>
      </c>
      <c r="AD2" s="1001">
        <v>1196.9975966106001</v>
      </c>
      <c r="AE2" s="1001" t="s">
        <v>556</v>
      </c>
    </row>
    <row r="3" spans="1:31" x14ac:dyDescent="0.25">
      <c r="A3" s="1001" t="s">
        <v>526</v>
      </c>
      <c r="B3" s="1001">
        <f>C57</f>
        <v>1.6760393953157799</v>
      </c>
      <c r="C3" s="1001">
        <f>H57</f>
        <v>3.6998665201005001</v>
      </c>
      <c r="D3" s="303">
        <f t="shared" si="0"/>
        <v>3.6998665201005001</v>
      </c>
      <c r="E3" s="1001">
        <f>B3</f>
        <v>1.6760393953157799</v>
      </c>
      <c r="F3" s="303">
        <f>F24*F29</f>
        <v>4.8650790357935909</v>
      </c>
      <c r="G3" s="303">
        <f>G24*G29</f>
        <v>13.085873430624982</v>
      </c>
      <c r="H3" s="303">
        <f>R57</f>
        <v>3.9310995272505136</v>
      </c>
      <c r="I3" s="1175">
        <f>S3</f>
        <v>0.66014434356912199</v>
      </c>
      <c r="J3" s="1174">
        <f>W3</f>
        <v>1.40862869751605</v>
      </c>
      <c r="K3" s="1174">
        <f>X3</f>
        <v>1.55883926712163</v>
      </c>
      <c r="L3" s="1174">
        <f>S3*1.006</f>
        <v>0.66410520963053676</v>
      </c>
      <c r="M3" s="1174">
        <f>W3*1.006</f>
        <v>1.4170804697011463</v>
      </c>
      <c r="N3" s="1174">
        <f>AC3-AC3*0.49</f>
        <v>2.5431399842585116</v>
      </c>
      <c r="O3" s="1174">
        <f>AD3-AD3*0.35</f>
        <v>4.1157117384391455</v>
      </c>
      <c r="P3" s="1174">
        <f>Z3-Z3*0.62</f>
        <v>3.2710380150229899</v>
      </c>
      <c r="Q3" s="333">
        <f>S3</f>
        <v>0.66014434356912199</v>
      </c>
      <c r="R3" s="1001" t="s">
        <v>545</v>
      </c>
      <c r="S3" s="216">
        <v>0.66014434356912199</v>
      </c>
      <c r="T3" s="216">
        <v>13.282913338837</v>
      </c>
      <c r="U3" s="216">
        <v>13.4359731297045</v>
      </c>
      <c r="V3" s="1001">
        <v>0.67023164394789403</v>
      </c>
      <c r="W3" s="1001">
        <v>1.40862869751605</v>
      </c>
      <c r="X3" s="1001">
        <v>1.55883926712163</v>
      </c>
      <c r="Y3" s="1001">
        <v>4.3151120751167502</v>
      </c>
      <c r="Z3" s="216">
        <v>8.6079947763762892</v>
      </c>
      <c r="AA3" s="1001">
        <v>1.2950024439285599</v>
      </c>
      <c r="AB3" s="1001">
        <v>4.3953119454965801</v>
      </c>
      <c r="AC3" s="1001">
        <v>4.9865489887421797</v>
      </c>
      <c r="AD3" s="1001">
        <v>6.3318642129832998</v>
      </c>
      <c r="AE3" s="1001" t="s">
        <v>556</v>
      </c>
    </row>
    <row r="4" spans="1:31" x14ac:dyDescent="0.25">
      <c r="A4" s="1001" t="s">
        <v>527</v>
      </c>
      <c r="B4" s="1001">
        <f>D57</f>
        <v>4.5958139680688979E-2</v>
      </c>
      <c r="C4" s="1001">
        <f>I57</f>
        <v>2.4664291734122622E-2</v>
      </c>
      <c r="D4" s="303">
        <f t="shared" si="0"/>
        <v>2.4664291734122622E-2</v>
      </c>
      <c r="E4" s="1001">
        <f>B4</f>
        <v>4.5958139680688979E-2</v>
      </c>
      <c r="F4" s="303">
        <f>F24*F31</f>
        <v>0.4741780915629486</v>
      </c>
      <c r="G4" s="303">
        <f>G24*G31</f>
        <v>1.2754231625254338</v>
      </c>
      <c r="H4" s="303">
        <f>S57</f>
        <v>3.9636291039358208E-2</v>
      </c>
      <c r="I4" s="1175">
        <f>S4-S4*0.8</f>
        <v>3.600585606514297E-3</v>
      </c>
      <c r="J4" s="1174">
        <f>W4-W4*0.8</f>
        <v>5.7485099592827042E-3</v>
      </c>
      <c r="K4" s="1174">
        <f>X4-X4*0.8</f>
        <v>5.6166773871568938E-3</v>
      </c>
      <c r="L4" s="1174">
        <f>S4</f>
        <v>1.8002928032571489E-2</v>
      </c>
      <c r="M4" s="1174">
        <f>W4</f>
        <v>2.8742549796413532E-2</v>
      </c>
      <c r="N4" s="1174">
        <f>AC4-AC4*0.95</f>
        <v>1.4995751632798981E-2</v>
      </c>
      <c r="O4" s="1174">
        <f>AD4-AD4*0.9</f>
        <v>3.6006389743742151E-2</v>
      </c>
      <c r="P4" s="1174">
        <f>Z4-Z4*0.97</f>
        <v>1.5416911357881202E-2</v>
      </c>
      <c r="Q4" s="333">
        <f>S4</f>
        <v>1.8002928032571489E-2</v>
      </c>
      <c r="R4" s="1001" t="s">
        <v>546</v>
      </c>
      <c r="S4" s="216">
        <v>1.8002928032571489E-2</v>
      </c>
      <c r="T4" s="216">
        <v>0.68177754625287856</v>
      </c>
      <c r="U4" s="216">
        <v>0.79227663022049621</v>
      </c>
      <c r="V4" s="1001">
        <v>1.8002928032571489E-2</v>
      </c>
      <c r="W4" s="1001">
        <v>2.8742549796413532E-2</v>
      </c>
      <c r="X4" s="1001">
        <v>2.808338693578448E-2</v>
      </c>
      <c r="Y4" s="1001">
        <v>4.6229815757386133E-2</v>
      </c>
      <c r="Z4" s="216">
        <v>0.51389704526270685</v>
      </c>
      <c r="AA4" s="1001">
        <v>7.0228335669325306E-2</v>
      </c>
      <c r="AB4" s="1001">
        <v>0.26136908933585967</v>
      </c>
      <c r="AC4" s="1001">
        <v>0.29991503265597991</v>
      </c>
      <c r="AD4" s="1001">
        <v>0.36006389743742134</v>
      </c>
      <c r="AE4" s="1001" t="s">
        <v>556</v>
      </c>
    </row>
    <row r="5" spans="1:31" x14ac:dyDescent="0.25">
      <c r="A5" s="1001" t="s">
        <v>528</v>
      </c>
      <c r="B5" s="1001">
        <f>E57</f>
        <v>1.38785587882015</v>
      </c>
      <c r="C5" s="1001">
        <f>J57</f>
        <v>3.6998704386640502</v>
      </c>
      <c r="D5" s="303">
        <f t="shared" si="0"/>
        <v>3.6998704386640502</v>
      </c>
      <c r="E5" s="1001">
        <f>B5</f>
        <v>1.38785587882015</v>
      </c>
      <c r="F5" s="303">
        <f>F24*F29</f>
        <v>4.8650790357935909</v>
      </c>
      <c r="G5" s="303">
        <f>G24*G29</f>
        <v>13.085873430624982</v>
      </c>
      <c r="H5" s="303">
        <f>T57</f>
        <v>4.0874370713778347</v>
      </c>
      <c r="I5" s="1175">
        <f>S5</f>
        <v>0.662170552787546</v>
      </c>
      <c r="J5" s="1174">
        <f>W5</f>
        <v>1.39511134278273</v>
      </c>
      <c r="K5" s="1174">
        <f>X5</f>
        <v>1.5471041214864001</v>
      </c>
      <c r="L5" s="1174">
        <f>S5*1.006</f>
        <v>0.66614357610427133</v>
      </c>
      <c r="M5" s="1174">
        <f>W5*1.006</f>
        <v>1.4034820108394264</v>
      </c>
      <c r="N5" s="1174">
        <f>AC5-AC5*0.49</f>
        <v>2.7987669953420382</v>
      </c>
      <c r="O5" s="1174">
        <f>AD5-AD5*0.35</f>
        <v>3.5856033730895756</v>
      </c>
      <c r="P5" s="1174">
        <f>Z5-Z5*0.62</f>
        <v>2.7384724634470254</v>
      </c>
      <c r="Q5" s="333">
        <f>S5</f>
        <v>0.662170552787546</v>
      </c>
      <c r="R5" s="1001" t="s">
        <v>547</v>
      </c>
      <c r="S5" s="216">
        <v>0.662170552787546</v>
      </c>
      <c r="T5" s="216">
        <v>11.6746533759563</v>
      </c>
      <c r="U5" s="216">
        <v>11.866988722974</v>
      </c>
      <c r="V5" s="1001">
        <v>0.67252936360558202</v>
      </c>
      <c r="W5" s="1001">
        <v>1.39511134278273</v>
      </c>
      <c r="X5" s="1001">
        <v>1.5471041214864001</v>
      </c>
      <c r="Y5" s="1001">
        <v>3.6037536836837001</v>
      </c>
      <c r="Z5" s="216">
        <v>7.20650648275533</v>
      </c>
      <c r="AA5" s="1001">
        <v>1.3696821810931299</v>
      </c>
      <c r="AB5" s="1001">
        <v>4.8239176526792198</v>
      </c>
      <c r="AC5" s="1001">
        <v>5.4877784222392902</v>
      </c>
      <c r="AD5" s="1001">
        <v>5.5163128816762699</v>
      </c>
      <c r="AE5" s="1001" t="s">
        <v>556</v>
      </c>
    </row>
    <row r="6" spans="1:31" x14ac:dyDescent="0.25">
      <c r="A6" s="1001" t="s">
        <v>529</v>
      </c>
      <c r="B6" s="1001">
        <f>F57</f>
        <v>6.6031232050939206E-2</v>
      </c>
      <c r="C6" s="1001">
        <f>K57</f>
        <v>0</v>
      </c>
      <c r="D6" s="303">
        <f t="shared" si="0"/>
        <v>0</v>
      </c>
      <c r="E6" s="1001">
        <f>B6</f>
        <v>6.6031232050939206E-2</v>
      </c>
      <c r="F6" s="303">
        <v>0</v>
      </c>
      <c r="G6" s="303">
        <v>0</v>
      </c>
      <c r="H6" s="303">
        <f>U57</f>
        <v>0</v>
      </c>
      <c r="I6" s="1175">
        <f>S6</f>
        <v>0.43228818816807402</v>
      </c>
      <c r="J6" s="1174">
        <f>W6</f>
        <v>0.90604155375378603</v>
      </c>
      <c r="K6" s="1174">
        <f>X6</f>
        <v>0.97812647440665401</v>
      </c>
      <c r="L6" s="1174">
        <f>S6-S6*0.68</f>
        <v>0.13833222021378366</v>
      </c>
      <c r="M6" s="1174">
        <f>W6-W6*0.68</f>
        <v>0.28993329720121153</v>
      </c>
      <c r="N6" s="1174">
        <f>AC6-AC6*0.04</f>
        <v>0.69216264442044484</v>
      </c>
      <c r="O6" s="1174">
        <f>AD6</f>
        <v>0.69415978376848897</v>
      </c>
      <c r="P6" s="1174">
        <f>Z6</f>
        <v>0.73647509677554601</v>
      </c>
      <c r="Q6" s="333">
        <f>S6</f>
        <v>0.43228818816807402</v>
      </c>
      <c r="R6" s="1001" t="s">
        <v>548</v>
      </c>
      <c r="S6" s="216">
        <v>0.43228818816807402</v>
      </c>
      <c r="T6" s="216">
        <v>0.80777607872203105</v>
      </c>
      <c r="U6" s="216">
        <v>0.77951994045264605</v>
      </c>
      <c r="V6" s="1001">
        <v>0.44553811999494902</v>
      </c>
      <c r="W6" s="1001">
        <v>0.90604155375378603</v>
      </c>
      <c r="X6" s="1001">
        <v>0.97812647440665401</v>
      </c>
      <c r="Y6" s="1001">
        <v>2.1001851295076501</v>
      </c>
      <c r="Z6" s="216">
        <v>0.73647509677554601</v>
      </c>
      <c r="AA6" s="1001">
        <v>7.7679578775842098E-2</v>
      </c>
      <c r="AB6" s="1001">
        <v>0.59992352360179502</v>
      </c>
      <c r="AC6" s="1001">
        <v>0.72100275460463004</v>
      </c>
      <c r="AD6" s="1001">
        <v>0.69415978376848897</v>
      </c>
      <c r="AE6" s="1001" t="s">
        <v>556</v>
      </c>
    </row>
    <row r="7" spans="1:31" x14ac:dyDescent="0.25">
      <c r="A7" s="1001" t="s">
        <v>530</v>
      </c>
      <c r="B7" s="1001">
        <f>B67</f>
        <v>1386.0966752893901</v>
      </c>
      <c r="C7" s="215">
        <f>G67</f>
        <v>1143.9017505930301</v>
      </c>
      <c r="D7" s="303">
        <f t="shared" si="0"/>
        <v>1143.9017505930301</v>
      </c>
      <c r="E7" s="215">
        <f>0.8*B7</f>
        <v>1108.8773402315121</v>
      </c>
      <c r="F7" s="228">
        <f>F25*F27/1000000*1000*F28</f>
        <v>8509.8318218321765</v>
      </c>
      <c r="G7" s="228">
        <f>G25*G27/1000000*1000*G28</f>
        <v>22889.222418035075</v>
      </c>
      <c r="H7" s="228">
        <f>H25*H27/1000000*1000*H28</f>
        <v>1297.9324866812365</v>
      </c>
      <c r="I7" s="1178">
        <f>I25*I27/1000000*1000*I28</f>
        <v>269.1000732512216</v>
      </c>
      <c r="J7" s="1177">
        <f>(I7/S7)*W7</f>
        <v>365.9382969824282</v>
      </c>
      <c r="K7" s="1177">
        <f>(I7/S7)*X7</f>
        <v>366.3987746250001</v>
      </c>
      <c r="L7" s="1177">
        <f>(1-0.085)*S7</f>
        <v>321.41033689872376</v>
      </c>
      <c r="M7" s="1177">
        <f>(1-0.085)*W7</f>
        <v>437.07290710198106</v>
      </c>
      <c r="N7" s="1177">
        <f>(1-0.085)*X7</f>
        <v>437.6228968230734</v>
      </c>
      <c r="O7" s="1177">
        <f>(1-0.085)*Y7</f>
        <v>1041.9056585210456</v>
      </c>
      <c r="P7" s="1177">
        <f>(1-0.085)*Z7</f>
        <v>977.52154309747789</v>
      </c>
      <c r="Q7" s="1176">
        <f>Q2*V7/V2</f>
        <v>202.35865807871411</v>
      </c>
      <c r="R7" s="1001" t="s">
        <v>549</v>
      </c>
      <c r="S7" s="216">
        <v>351.26812775816802</v>
      </c>
      <c r="T7" s="216">
        <v>1389.56677507162</v>
      </c>
      <c r="U7" s="216">
        <v>1849.9702080202801</v>
      </c>
      <c r="V7" s="1001">
        <v>351.26946703737599</v>
      </c>
      <c r="W7" s="1001">
        <v>477.675308308176</v>
      </c>
      <c r="X7" s="1001">
        <v>478.27638997057198</v>
      </c>
      <c r="Y7" s="1001">
        <v>1138.6947087661699</v>
      </c>
      <c r="Z7" s="216">
        <v>1068.32955529779</v>
      </c>
      <c r="AA7" s="1001">
        <v>361.28790331687298</v>
      </c>
      <c r="AB7" s="1001">
        <v>735.91659010754199</v>
      </c>
      <c r="AC7" s="1001">
        <v>733.95207299241395</v>
      </c>
      <c r="AD7" s="1001">
        <v>1197.1931535270401</v>
      </c>
      <c r="AE7" s="1001" t="s">
        <v>556</v>
      </c>
    </row>
    <row r="8" spans="1:31" x14ac:dyDescent="0.25">
      <c r="A8" s="1001" t="s">
        <v>531</v>
      </c>
      <c r="B8" s="1001">
        <f>C67</f>
        <v>0.97891588194847301</v>
      </c>
      <c r="C8" s="1001">
        <f>H67</f>
        <v>3.1098012860768001</v>
      </c>
      <c r="D8" s="303">
        <f t="shared" si="0"/>
        <v>3.1098012860768001</v>
      </c>
      <c r="E8" s="1001">
        <f>B8</f>
        <v>0.97891588194847301</v>
      </c>
      <c r="F8" s="303">
        <f>F25*F29</f>
        <v>4.5401718600641576</v>
      </c>
      <c r="G8" s="303">
        <f>G25*G29</f>
        <v>12.211875122431998</v>
      </c>
      <c r="H8" s="303">
        <f>R67</f>
        <v>3.5821288133192621</v>
      </c>
      <c r="I8" s="1175">
        <f>S8</f>
        <v>0.153675251448052</v>
      </c>
      <c r="J8" s="1174">
        <f>W8</f>
        <v>0.66518472879819901</v>
      </c>
      <c r="K8" s="1174">
        <f>X8</f>
        <v>0.80038938204577603</v>
      </c>
      <c r="L8" s="1174">
        <f>S8*1.006</f>
        <v>0.15459730295674032</v>
      </c>
      <c r="M8" s="1174">
        <f>W8*1.006</f>
        <v>0.66917583717098816</v>
      </c>
      <c r="N8" s="1174">
        <f>AC8-AC8*0.49</f>
        <v>1.1795237763644366</v>
      </c>
      <c r="O8" s="1174">
        <f>AD8-AD8*0.35</f>
        <v>1.1542156854565675</v>
      </c>
      <c r="P8" s="1174">
        <f>Z8-Z8*0.62</f>
        <v>1.3373633881225744</v>
      </c>
      <c r="Q8" s="333">
        <f>S8</f>
        <v>0.153675251448052</v>
      </c>
      <c r="R8" s="1001" t="s">
        <v>550</v>
      </c>
      <c r="S8" s="216">
        <v>0.153675251448052</v>
      </c>
      <c r="T8" s="216">
        <v>4.0297879304026303</v>
      </c>
      <c r="U8" s="216">
        <v>3.5640723106921</v>
      </c>
      <c r="V8" s="1001">
        <v>0.15613718282269701</v>
      </c>
      <c r="W8" s="1001">
        <v>0.66518472879819901</v>
      </c>
      <c r="X8" s="1001">
        <v>0.80038938204577603</v>
      </c>
      <c r="Y8" s="1001">
        <v>3.3751667783169901</v>
      </c>
      <c r="Z8" s="216">
        <v>3.5193773371646699</v>
      </c>
      <c r="AA8" s="1001">
        <v>0.35046922235329298</v>
      </c>
      <c r="AB8" s="1001">
        <v>1.86522096706748</v>
      </c>
      <c r="AC8" s="1001">
        <v>2.3127917183616402</v>
      </c>
      <c r="AD8" s="1001">
        <v>1.7757164391639499</v>
      </c>
      <c r="AE8" s="1001" t="s">
        <v>556</v>
      </c>
    </row>
    <row r="9" spans="1:31" x14ac:dyDescent="0.25">
      <c r="A9" s="1001" t="s">
        <v>532</v>
      </c>
      <c r="B9" s="1001">
        <f>D67</f>
        <v>3.2810855041907935E-2</v>
      </c>
      <c r="C9" s="1001">
        <f>I67</f>
        <v>1.939808623160473E-2</v>
      </c>
      <c r="D9" s="303">
        <f t="shared" si="0"/>
        <v>1.939808623160473E-2</v>
      </c>
      <c r="E9" s="1001">
        <f>B9</f>
        <v>3.2810855041907935E-2</v>
      </c>
      <c r="F9" s="303">
        <f>F25*F31</f>
        <v>0.44251080242149704</v>
      </c>
      <c r="G9" s="303">
        <f>G25*G31</f>
        <v>1.190238349132039</v>
      </c>
      <c r="H9" s="303">
        <f>S67</f>
        <v>3.5384685362244928E-2</v>
      </c>
      <c r="I9" s="1175">
        <f>S9-S9*0.8</f>
        <v>2.6028090416433947E-3</v>
      </c>
      <c r="J9" s="1174">
        <f>W9-W9*0.8</f>
        <v>4.7563679857077039E-3</v>
      </c>
      <c r="K9" s="1174">
        <f>X9-X9*0.8</f>
        <v>4.6388264460374695E-3</v>
      </c>
      <c r="L9" s="1174">
        <f>S9</f>
        <v>1.301404520821698E-2</v>
      </c>
      <c r="M9" s="1174">
        <f>W9</f>
        <v>2.3781839928538519E-2</v>
      </c>
      <c r="N9" s="1174">
        <f>AC9-AC9*0.95</f>
        <v>4.9221406443182847E-3</v>
      </c>
      <c r="O9" s="1174">
        <f>AD9-AD9*0.9</f>
        <v>8.6134585845552003E-3</v>
      </c>
      <c r="P9" s="1174">
        <f>Z9-Z9*0.97</f>
        <v>5.6491086153616366E-3</v>
      </c>
      <c r="Q9" s="333">
        <f>S9</f>
        <v>1.301404520821698E-2</v>
      </c>
      <c r="R9" s="1001" t="s">
        <v>551</v>
      </c>
      <c r="S9" s="216">
        <v>1.301404520821698E-2</v>
      </c>
      <c r="T9" s="216">
        <v>0.19998051060907643</v>
      </c>
      <c r="U9" s="216">
        <v>0.19900926624154056</v>
      </c>
      <c r="V9" s="1001">
        <v>1.301404520821698E-2</v>
      </c>
      <c r="W9" s="1001">
        <v>2.3781839928538519E-2</v>
      </c>
      <c r="X9" s="1001">
        <v>2.3194132230187348E-2</v>
      </c>
      <c r="Y9" s="1001">
        <v>3.1882134689545052E-2</v>
      </c>
      <c r="Z9" s="216">
        <v>0.18830362051205457</v>
      </c>
      <c r="AA9" s="1001">
        <v>1.322111560358321E-2</v>
      </c>
      <c r="AB9" s="1001">
        <v>7.1095796098519182E-2</v>
      </c>
      <c r="AC9" s="1001">
        <v>9.8442812886365472E-2</v>
      </c>
      <c r="AD9" s="1001">
        <v>8.6134585845552059E-2</v>
      </c>
      <c r="AE9" s="1001" t="s">
        <v>556</v>
      </c>
    </row>
    <row r="10" spans="1:31" x14ac:dyDescent="0.25">
      <c r="A10" s="1001" t="s">
        <v>533</v>
      </c>
      <c r="B10" s="1001">
        <f>E67</f>
        <v>0.79683648009321995</v>
      </c>
      <c r="C10" s="1001">
        <f>J67</f>
        <v>3.1098018188262002</v>
      </c>
      <c r="D10" s="303">
        <f t="shared" si="0"/>
        <v>3.1098018188262002</v>
      </c>
      <c r="E10" s="1001">
        <f>B10</f>
        <v>0.79683648009321995</v>
      </c>
      <c r="F10" s="303">
        <f>F25*F29</f>
        <v>4.5401718600641576</v>
      </c>
      <c r="G10" s="303">
        <f>G24*G29</f>
        <v>13.085873430624982</v>
      </c>
      <c r="H10" s="303">
        <f>T67</f>
        <v>3.8457283214715319</v>
      </c>
      <c r="I10" s="1175">
        <f>S10</f>
        <v>0.146873213200683</v>
      </c>
      <c r="J10" s="1174">
        <f>W10</f>
        <v>0.65973270437440601</v>
      </c>
      <c r="K10" s="1174">
        <f>X10</f>
        <v>0.80198653433219902</v>
      </c>
      <c r="L10" s="1174">
        <f>S10*1.006</f>
        <v>0.14775445247988711</v>
      </c>
      <c r="M10" s="1174">
        <f>W10*1.006</f>
        <v>0.66369110060065239</v>
      </c>
      <c r="N10" s="1174">
        <f>AC10-AC10*0.49</f>
        <v>1.2438797241296309</v>
      </c>
      <c r="O10" s="1174">
        <f>AD10-AD10*0.35</f>
        <v>0.96481271730958407</v>
      </c>
      <c r="P10" s="1174">
        <f>Z10-Z10*0.62</f>
        <v>1.0397501462971364</v>
      </c>
      <c r="Q10" s="333">
        <f>S10</f>
        <v>0.146873213200683</v>
      </c>
      <c r="R10" s="1001" t="s">
        <v>552</v>
      </c>
      <c r="S10" s="216">
        <v>0.146873213200683</v>
      </c>
      <c r="T10" s="216">
        <v>3.4796686853835102</v>
      </c>
      <c r="U10" s="216">
        <v>3.1188816432372</v>
      </c>
      <c r="V10" s="1001">
        <v>0.149432890395891</v>
      </c>
      <c r="W10" s="1001">
        <v>0.65973270437440601</v>
      </c>
      <c r="X10" s="1001">
        <v>0.80198653433219902</v>
      </c>
      <c r="Y10" s="1001">
        <v>2.8086122208575102</v>
      </c>
      <c r="Z10" s="216">
        <v>2.7361845955187798</v>
      </c>
      <c r="AA10" s="1001">
        <v>0.29326282294092099</v>
      </c>
      <c r="AB10" s="1001">
        <v>1.94925958977166</v>
      </c>
      <c r="AC10" s="1001">
        <v>2.4389798512345702</v>
      </c>
      <c r="AD10" s="1001">
        <v>1.48432725739936</v>
      </c>
      <c r="AE10" s="1001" t="s">
        <v>556</v>
      </c>
    </row>
    <row r="11" spans="1:31" ht="15.75" thickBot="1" x14ac:dyDescent="0.3">
      <c r="A11" s="1001" t="s">
        <v>534</v>
      </c>
      <c r="B11" s="1001">
        <f>F67</f>
        <v>5.6372874494692901E-2</v>
      </c>
      <c r="C11" s="1001">
        <f>K67</f>
        <v>0</v>
      </c>
      <c r="D11" s="303">
        <f t="shared" si="0"/>
        <v>0</v>
      </c>
      <c r="E11" s="1001">
        <f>B11</f>
        <v>5.6372874494692901E-2</v>
      </c>
      <c r="F11" s="303">
        <v>0</v>
      </c>
      <c r="G11" s="303">
        <v>0</v>
      </c>
      <c r="H11" s="303">
        <f>U67</f>
        <v>0</v>
      </c>
      <c r="I11" s="1173">
        <f>S11</f>
        <v>0.15411973579968899</v>
      </c>
      <c r="J11" s="1172">
        <f>W11</f>
        <v>0.44946602849105999</v>
      </c>
      <c r="K11" s="1172">
        <f>X11</f>
        <v>0.490078055647238</v>
      </c>
      <c r="L11" s="1172">
        <f>S11-S11*0.68</f>
        <v>4.9318315455900472E-2</v>
      </c>
      <c r="M11" s="1172">
        <f>W11-W11*0.68</f>
        <v>0.14382912911713919</v>
      </c>
      <c r="N11" s="1172">
        <f>AC11-AC11*0.04</f>
        <v>0.24146922280468128</v>
      </c>
      <c r="O11" s="1172">
        <f>AD11</f>
        <v>0.17167987234351301</v>
      </c>
      <c r="P11" s="1172">
        <f>Z11</f>
        <v>0.30393658223899001</v>
      </c>
      <c r="Q11" s="1171">
        <f>S11</f>
        <v>0.15411973579968899</v>
      </c>
      <c r="R11" s="1001" t="s">
        <v>553</v>
      </c>
      <c r="S11" s="216">
        <v>0.15411973579968899</v>
      </c>
      <c r="T11" s="216">
        <v>0.283500746614259</v>
      </c>
      <c r="U11" s="216">
        <v>0.21429608255601401</v>
      </c>
      <c r="V11" s="1001">
        <v>0.15604675289852399</v>
      </c>
      <c r="W11" s="1001">
        <v>0.44946602849105999</v>
      </c>
      <c r="X11" s="1001">
        <v>0.490078055647238</v>
      </c>
      <c r="Y11" s="1001">
        <v>1.12700650665711</v>
      </c>
      <c r="Z11" s="216">
        <v>0.30393658223899001</v>
      </c>
      <c r="AA11" s="1001">
        <v>3.9675326428174E-2</v>
      </c>
      <c r="AB11" s="1001">
        <v>0.17731184604007699</v>
      </c>
      <c r="AC11" s="1001">
        <v>0.25153044042154299</v>
      </c>
      <c r="AD11" s="1001">
        <v>0.17167987234351301</v>
      </c>
      <c r="AE11" s="1001" t="s">
        <v>556</v>
      </c>
    </row>
    <row r="12" spans="1:31" x14ac:dyDescent="0.25">
      <c r="D12" s="303"/>
      <c r="F12" s="303"/>
      <c r="G12" s="303"/>
      <c r="H12" s="303"/>
      <c r="I12" s="303" t="s">
        <v>899</v>
      </c>
      <c r="Q12" s="1001" t="s">
        <v>898</v>
      </c>
    </row>
    <row r="13" spans="1:31" x14ac:dyDescent="0.25">
      <c r="A13" s="6" t="s">
        <v>506</v>
      </c>
      <c r="D13" s="303"/>
      <c r="F13" s="303"/>
      <c r="G13" s="303"/>
      <c r="H13" s="303"/>
      <c r="I13" s="303"/>
      <c r="Q13" s="1001" t="s">
        <v>897</v>
      </c>
    </row>
    <row r="14" spans="1:31" ht="60" x14ac:dyDescent="0.25">
      <c r="A14" s="1001" t="s">
        <v>511</v>
      </c>
      <c r="B14" s="48" t="s">
        <v>411</v>
      </c>
      <c r="C14" s="48" t="s">
        <v>411</v>
      </c>
      <c r="D14" s="229" t="s">
        <v>509</v>
      </c>
      <c r="E14" s="229" t="s">
        <v>557</v>
      </c>
      <c r="F14" s="48" t="s">
        <v>517</v>
      </c>
      <c r="G14" s="48" t="s">
        <v>517</v>
      </c>
      <c r="H14" s="229" t="s">
        <v>507</v>
      </c>
      <c r="I14" s="229" t="s">
        <v>507</v>
      </c>
      <c r="O14" s="1170" t="s">
        <v>896</v>
      </c>
    </row>
    <row r="15" spans="1:31" ht="30" x14ac:dyDescent="0.25">
      <c r="A15" s="1001" t="s">
        <v>512</v>
      </c>
      <c r="B15" s="48" t="s">
        <v>411</v>
      </c>
      <c r="C15" s="48" t="s">
        <v>411</v>
      </c>
      <c r="D15" s="229" t="s">
        <v>509</v>
      </c>
      <c r="E15" s="229" t="s">
        <v>510</v>
      </c>
      <c r="F15" s="48" t="s">
        <v>516</v>
      </c>
      <c r="G15" s="48" t="s">
        <v>516</v>
      </c>
      <c r="H15" s="1316" t="s">
        <v>518</v>
      </c>
      <c r="I15" s="229" t="s">
        <v>535</v>
      </c>
    </row>
    <row r="16" spans="1:31" ht="30" x14ac:dyDescent="0.25">
      <c r="A16" s="1001" t="s">
        <v>513</v>
      </c>
      <c r="B16" s="48" t="s">
        <v>411</v>
      </c>
      <c r="C16" s="48" t="s">
        <v>411</v>
      </c>
      <c r="D16" s="229" t="s">
        <v>509</v>
      </c>
      <c r="E16" s="229" t="s">
        <v>510</v>
      </c>
      <c r="F16" s="48" t="s">
        <v>516</v>
      </c>
      <c r="G16" s="48" t="s">
        <v>516</v>
      </c>
      <c r="H16" s="1317"/>
      <c r="I16" s="229" t="s">
        <v>535</v>
      </c>
    </row>
    <row r="17" spans="1:10" ht="30" x14ac:dyDescent="0.25">
      <c r="A17" s="1001" t="s">
        <v>514</v>
      </c>
      <c r="B17" s="48" t="s">
        <v>411</v>
      </c>
      <c r="C17" s="48" t="s">
        <v>411</v>
      </c>
      <c r="D17" s="229" t="s">
        <v>509</v>
      </c>
      <c r="E17" s="229" t="s">
        <v>510</v>
      </c>
      <c r="F17" s="48" t="s">
        <v>516</v>
      </c>
      <c r="G17" s="48" t="s">
        <v>516</v>
      </c>
      <c r="H17" s="1317"/>
      <c r="I17" s="229" t="s">
        <v>535</v>
      </c>
    </row>
    <row r="18" spans="1:10" ht="60" x14ac:dyDescent="0.25">
      <c r="A18" s="1001" t="s">
        <v>515</v>
      </c>
      <c r="B18" s="48" t="s">
        <v>411</v>
      </c>
      <c r="C18" s="48" t="s">
        <v>411</v>
      </c>
      <c r="D18" s="229" t="s">
        <v>509</v>
      </c>
      <c r="E18" s="229" t="s">
        <v>510</v>
      </c>
      <c r="F18" s="229" t="s">
        <v>521</v>
      </c>
      <c r="G18" s="229" t="s">
        <v>521</v>
      </c>
      <c r="H18" s="1317"/>
      <c r="I18" s="229" t="s">
        <v>535</v>
      </c>
    </row>
    <row r="19" spans="1:10" x14ac:dyDescent="0.25">
      <c r="D19" s="303"/>
      <c r="F19" s="303"/>
      <c r="G19" s="303"/>
      <c r="H19" s="303"/>
      <c r="I19" s="303"/>
    </row>
    <row r="21" spans="1:10" x14ac:dyDescent="0.25">
      <c r="A21" s="6" t="s">
        <v>492</v>
      </c>
      <c r="J21" s="1001" t="s">
        <v>498</v>
      </c>
    </row>
    <row r="22" spans="1:10" x14ac:dyDescent="0.25">
      <c r="A22" s="1001" t="s">
        <v>488</v>
      </c>
      <c r="B22" s="215">
        <v>36239</v>
      </c>
      <c r="C22" s="215">
        <v>36239</v>
      </c>
      <c r="D22" s="215">
        <v>36239</v>
      </c>
      <c r="E22" s="215">
        <v>28991</v>
      </c>
      <c r="F22" s="215">
        <v>51495</v>
      </c>
      <c r="G22" s="215">
        <v>138509</v>
      </c>
      <c r="J22" s="1001" t="s">
        <v>499</v>
      </c>
    </row>
    <row r="23" spans="1:10" x14ac:dyDescent="0.25">
      <c r="A23" s="1001" t="s">
        <v>489</v>
      </c>
      <c r="B23" s="215">
        <v>33946</v>
      </c>
      <c r="C23" s="215">
        <v>33946</v>
      </c>
      <c r="D23" s="215">
        <v>33946</v>
      </c>
      <c r="E23" s="215">
        <v>26714</v>
      </c>
      <c r="F23" s="215">
        <v>48237</v>
      </c>
      <c r="G23" s="215">
        <v>129745</v>
      </c>
      <c r="J23" s="1001" t="s">
        <v>499</v>
      </c>
    </row>
    <row r="24" spans="1:10" x14ac:dyDescent="0.25">
      <c r="A24" s="1001" t="s">
        <v>487</v>
      </c>
      <c r="B24" s="215">
        <f t="shared" ref="B24:G24" si="1">B22+(2010-2009)/(2030-2009)*(B23-B22)</f>
        <v>36129.809523809527</v>
      </c>
      <c r="C24" s="215">
        <f t="shared" si="1"/>
        <v>36129.809523809527</v>
      </c>
      <c r="D24" s="215">
        <f t="shared" si="1"/>
        <v>36129.809523809527</v>
      </c>
      <c r="E24" s="215">
        <f t="shared" si="1"/>
        <v>28882.571428571428</v>
      </c>
      <c r="F24" s="215">
        <f t="shared" si="1"/>
        <v>51339.857142857145</v>
      </c>
      <c r="G24" s="215">
        <f t="shared" si="1"/>
        <v>138091.66666666666</v>
      </c>
      <c r="H24" s="215">
        <f>W57</f>
        <v>23885.775011874903</v>
      </c>
      <c r="I24" s="215">
        <f>V57</f>
        <v>5278.2821689025395</v>
      </c>
      <c r="J24" s="1001" t="s">
        <v>499</v>
      </c>
    </row>
    <row r="25" spans="1:10" x14ac:dyDescent="0.25">
      <c r="A25" s="1001" t="s">
        <v>490</v>
      </c>
      <c r="B25" s="215">
        <f t="shared" ref="B25:G25" si="2">B22+(2020-2009)/(2030-2020)*(B23-B22)</f>
        <v>33716.699999999997</v>
      </c>
      <c r="C25" s="215">
        <f t="shared" si="2"/>
        <v>33716.699999999997</v>
      </c>
      <c r="D25" s="215">
        <f t="shared" si="2"/>
        <v>33716.699999999997</v>
      </c>
      <c r="E25" s="215">
        <f t="shared" si="2"/>
        <v>26486.3</v>
      </c>
      <c r="F25" s="215">
        <f t="shared" si="2"/>
        <v>47911.199999999997</v>
      </c>
      <c r="G25" s="215">
        <f t="shared" si="2"/>
        <v>128868.6</v>
      </c>
      <c r="H25" s="215">
        <f>W67</f>
        <v>23841.715228433815</v>
      </c>
      <c r="I25" s="215">
        <f>V67</f>
        <v>4156.5891148865103</v>
      </c>
      <c r="J25" s="1001" t="s">
        <v>499</v>
      </c>
    </row>
    <row r="26" spans="1:10" x14ac:dyDescent="0.25">
      <c r="A26" s="1001" t="s">
        <v>485</v>
      </c>
      <c r="B26" s="1001">
        <v>73.19</v>
      </c>
      <c r="C26" s="1001">
        <v>53.06</v>
      </c>
      <c r="D26" s="1001">
        <v>53.06</v>
      </c>
      <c r="E26" s="1001">
        <v>73.19</v>
      </c>
      <c r="F26" s="1001">
        <v>197.79243125409928</v>
      </c>
      <c r="G26" s="1001">
        <v>197.79243125409928</v>
      </c>
      <c r="H26" s="1001">
        <v>53.06</v>
      </c>
      <c r="I26" s="1001">
        <v>63.1</v>
      </c>
      <c r="J26" s="1001" t="s">
        <v>508</v>
      </c>
    </row>
    <row r="27" spans="1:10" x14ac:dyDescent="0.25">
      <c r="A27" s="1001" t="s">
        <v>486</v>
      </c>
      <c r="B27" s="1001">
        <v>73.19</v>
      </c>
      <c r="C27" s="1001">
        <v>53.06</v>
      </c>
      <c r="D27" s="215">
        <v>53.06</v>
      </c>
      <c r="E27" s="215">
        <v>73.19</v>
      </c>
      <c r="F27" s="1001">
        <v>176.69173921972839</v>
      </c>
      <c r="G27" s="1001">
        <v>176.69173921972839</v>
      </c>
      <c r="H27" s="1001">
        <v>53.06</v>
      </c>
      <c r="I27" s="1001">
        <v>63.1</v>
      </c>
      <c r="J27" s="1001" t="s">
        <v>508</v>
      </c>
    </row>
    <row r="28" spans="1:10" x14ac:dyDescent="0.25">
      <c r="A28" s="1001" t="s">
        <v>491</v>
      </c>
      <c r="B28" s="1001">
        <v>1.026</v>
      </c>
      <c r="C28" s="1001">
        <v>1.026</v>
      </c>
      <c r="D28" s="1001">
        <v>1.026</v>
      </c>
      <c r="E28" s="1001">
        <v>1.026</v>
      </c>
      <c r="F28" s="1001">
        <v>1.0052351894548117</v>
      </c>
      <c r="G28" s="1001">
        <v>1.0052351894548117</v>
      </c>
      <c r="H28" s="1001">
        <v>1.026</v>
      </c>
      <c r="I28" s="1001">
        <v>1.026</v>
      </c>
      <c r="J28" s="1001" t="s">
        <v>500</v>
      </c>
    </row>
    <row r="29" spans="1:10" x14ac:dyDescent="0.25">
      <c r="A29" s="1001" t="s">
        <v>493</v>
      </c>
      <c r="F29" s="1001">
        <v>9.4762223865487778E-5</v>
      </c>
      <c r="G29" s="1001">
        <v>9.4762223865487778E-5</v>
      </c>
      <c r="J29" s="1001" t="s">
        <v>497</v>
      </c>
    </row>
    <row r="30" spans="1:10" x14ac:dyDescent="0.25">
      <c r="A30" s="1001" t="s">
        <v>494</v>
      </c>
      <c r="F30" s="1001">
        <v>2.2910426188311468E-5</v>
      </c>
      <c r="G30" s="1001">
        <v>2.2910426188311468E-5</v>
      </c>
      <c r="J30" s="1001" t="s">
        <v>497</v>
      </c>
    </row>
    <row r="31" spans="1:10" x14ac:dyDescent="0.25">
      <c r="A31" s="1001" t="s">
        <v>496</v>
      </c>
      <c r="F31" s="1001">
        <f>AVERAGE(3.17/14.73,52.15/88.23)*F30</f>
        <v>9.2360617647125743E-6</v>
      </c>
      <c r="G31" s="1001">
        <f>AVERAGE(3.17/14.73,52.15/88.23)*G30</f>
        <v>9.2360617647125743E-6</v>
      </c>
      <c r="J31" s="1001" t="s">
        <v>495</v>
      </c>
    </row>
    <row r="33" spans="1:26" x14ac:dyDescent="0.25">
      <c r="A33" s="224"/>
      <c r="B33" s="174"/>
      <c r="C33" s="222"/>
      <c r="D33" s="223"/>
      <c r="E33" s="223"/>
    </row>
    <row r="34" spans="1:26" x14ac:dyDescent="0.25">
      <c r="A34" s="226" t="s">
        <v>504</v>
      </c>
      <c r="B34" s="174"/>
      <c r="C34" s="222"/>
      <c r="D34" s="223"/>
      <c r="E34" s="223"/>
    </row>
    <row r="35" spans="1:26" x14ac:dyDescent="0.25">
      <c r="A35" s="224"/>
      <c r="B35" s="1315" t="s">
        <v>502</v>
      </c>
      <c r="C35" s="1315"/>
      <c r="D35" s="1315"/>
      <c r="E35" s="1315"/>
      <c r="F35" s="1315"/>
      <c r="G35" s="1315" t="s">
        <v>503</v>
      </c>
      <c r="H35" s="1315"/>
      <c r="I35" s="1315"/>
      <c r="J35" s="1315"/>
      <c r="K35" s="1315"/>
      <c r="L35" s="1315" t="s">
        <v>519</v>
      </c>
      <c r="M35" s="1315"/>
      <c r="N35" s="1315"/>
      <c r="O35" s="1315"/>
      <c r="P35" s="1315"/>
      <c r="Q35" s="1315" t="s">
        <v>520</v>
      </c>
      <c r="R35" s="1315"/>
      <c r="S35" s="1315"/>
      <c r="T35" s="1315"/>
      <c r="U35" s="1318"/>
      <c r="V35" s="1314" t="s">
        <v>524</v>
      </c>
      <c r="W35" s="1314"/>
    </row>
    <row r="36" spans="1:26" x14ac:dyDescent="0.25">
      <c r="A36" s="224" t="s">
        <v>501</v>
      </c>
      <c r="B36" s="227" t="s">
        <v>334</v>
      </c>
      <c r="C36" s="227" t="s">
        <v>505</v>
      </c>
      <c r="D36" s="227" t="s">
        <v>336</v>
      </c>
      <c r="E36" s="225" t="s">
        <v>335</v>
      </c>
      <c r="F36" s="225" t="s">
        <v>338</v>
      </c>
      <c r="G36" s="225" t="s">
        <v>334</v>
      </c>
      <c r="H36" s="225" t="s">
        <v>505</v>
      </c>
      <c r="I36" s="225" t="s">
        <v>336</v>
      </c>
      <c r="J36" s="225" t="s">
        <v>335</v>
      </c>
      <c r="K36" s="225" t="s">
        <v>338</v>
      </c>
      <c r="L36" s="227" t="s">
        <v>334</v>
      </c>
      <c r="M36" s="227" t="s">
        <v>505</v>
      </c>
      <c r="N36" s="227" t="s">
        <v>336</v>
      </c>
      <c r="O36" s="225" t="s">
        <v>335</v>
      </c>
      <c r="P36" s="225" t="s">
        <v>338</v>
      </c>
      <c r="Q36" s="227" t="s">
        <v>334</v>
      </c>
      <c r="R36" s="227" t="s">
        <v>505</v>
      </c>
      <c r="S36" s="227" t="s">
        <v>336</v>
      </c>
      <c r="T36" s="225" t="s">
        <v>335</v>
      </c>
      <c r="U36" s="225" t="s">
        <v>338</v>
      </c>
      <c r="V36" s="44" t="s">
        <v>522</v>
      </c>
      <c r="W36" s="44" t="s">
        <v>523</v>
      </c>
    </row>
    <row r="37" spans="1:26" x14ac:dyDescent="0.25">
      <c r="A37" s="43">
        <v>1990</v>
      </c>
      <c r="B37" s="216">
        <v>1397.1666642436701</v>
      </c>
      <c r="C37" s="216">
        <v>25.090918726650902</v>
      </c>
      <c r="D37" s="216">
        <v>0.96064929766578333</v>
      </c>
      <c r="E37" s="216">
        <v>22.063126311539499</v>
      </c>
      <c r="F37" s="216">
        <v>1.4341171374972701</v>
      </c>
      <c r="G37" s="216">
        <v>1205.3682257258099</v>
      </c>
      <c r="H37" s="216">
        <v>6.0963691783815497</v>
      </c>
      <c r="I37" s="216">
        <v>6.1866630285271035E-2</v>
      </c>
      <c r="J37" s="216">
        <v>6.0963713183303199</v>
      </c>
      <c r="K37" s="216">
        <v>0</v>
      </c>
      <c r="L37" s="216">
        <v>1895.30963973387</v>
      </c>
      <c r="M37" s="216">
        <v>28.589966748590399</v>
      </c>
      <c r="N37" s="216">
        <v>1.3736971486313883</v>
      </c>
      <c r="O37" s="216">
        <v>24.898385892000899</v>
      </c>
      <c r="P37" s="216">
        <v>1.21197103487239</v>
      </c>
      <c r="Q37" s="1001">
        <f t="shared" ref="Q37:Q67" si="3">L37*G37/B37</f>
        <v>1635.1277740252519</v>
      </c>
      <c r="R37" s="1001">
        <f t="shared" ref="R37:R67" si="4">M37*H37/C37</f>
        <v>6.9465368723995118</v>
      </c>
      <c r="S37" s="1001">
        <f t="shared" ref="S37:S67" si="5">N37*I37/D37</f>
        <v>8.8467262532550509E-2</v>
      </c>
      <c r="T37" s="1001">
        <f t="shared" ref="T37:T67" si="6">O37*J37/E37</f>
        <v>6.8797958857410499</v>
      </c>
      <c r="U37" s="1001">
        <f t="shared" ref="U37:U67" si="7">P37*K37/F37</f>
        <v>0</v>
      </c>
      <c r="V37" s="1001">
        <v>5574.2884870282714</v>
      </c>
      <c r="W37" s="1001">
        <v>24470.546922780908</v>
      </c>
      <c r="Z37" s="1001">
        <f t="shared" ref="Z37:Z67" si="8">H37/C37</f>
        <v>0.24297114206129686</v>
      </c>
    </row>
    <row r="38" spans="1:26" x14ac:dyDescent="0.25">
      <c r="A38" s="43">
        <v>1991</v>
      </c>
      <c r="B38" s="216">
        <v>1396.36135441335</v>
      </c>
      <c r="C38" s="216">
        <v>23.597203964206901</v>
      </c>
      <c r="D38" s="216">
        <v>1.0838144746969731</v>
      </c>
      <c r="E38" s="216">
        <v>20.7441959626459</v>
      </c>
      <c r="F38" s="216">
        <v>1.43388241317478</v>
      </c>
      <c r="G38" s="216">
        <v>1202.3391118363299</v>
      </c>
      <c r="H38" s="216">
        <v>6.0963670188649104</v>
      </c>
      <c r="I38" s="216">
        <v>6.0973778358171443E-2</v>
      </c>
      <c r="J38" s="216">
        <v>6.0963665782679799</v>
      </c>
      <c r="K38" s="216">
        <v>0</v>
      </c>
      <c r="L38" s="216">
        <v>1888.0949079877601</v>
      </c>
      <c r="M38" s="216">
        <v>26.430342300920501</v>
      </c>
      <c r="N38" s="216">
        <v>1.2486693146569547</v>
      </c>
      <c r="O38" s="216">
        <v>23.033886754905499</v>
      </c>
      <c r="P38" s="216">
        <v>1.3556067278642401</v>
      </c>
      <c r="Q38" s="1001">
        <f t="shared" si="3"/>
        <v>1625.7470514761167</v>
      </c>
      <c r="R38" s="1001">
        <f t="shared" si="4"/>
        <v>6.8283118349550351</v>
      </c>
      <c r="S38" s="1001">
        <f t="shared" si="5"/>
        <v>7.0248264635725699E-2</v>
      </c>
      <c r="T38" s="1001">
        <f t="shared" si="6"/>
        <v>6.7692677813628102</v>
      </c>
      <c r="U38" s="1001">
        <f t="shared" si="7"/>
        <v>0</v>
      </c>
      <c r="V38" s="1001">
        <v>5295.5039268072887</v>
      </c>
      <c r="W38" s="1001">
        <v>24378.787796959055</v>
      </c>
      <c r="Z38" s="1001">
        <f t="shared" si="8"/>
        <v>0.2583512448386725</v>
      </c>
    </row>
    <row r="39" spans="1:26" x14ac:dyDescent="0.25">
      <c r="A39" s="43">
        <v>1992</v>
      </c>
      <c r="B39" s="216">
        <v>1396.87773511863</v>
      </c>
      <c r="C39" s="216">
        <v>23.590043520396801</v>
      </c>
      <c r="D39" s="216">
        <v>1.0835188463683856</v>
      </c>
      <c r="E39" s="216">
        <v>20.743862903000501</v>
      </c>
      <c r="F39" s="216">
        <v>1.43370351544023</v>
      </c>
      <c r="G39" s="216">
        <v>1200.2348297327001</v>
      </c>
      <c r="H39" s="216">
        <v>6.0963732276131299</v>
      </c>
      <c r="I39" s="216">
        <v>6.0454450776879776E-2</v>
      </c>
      <c r="J39" s="216">
        <v>6.0963576770719703</v>
      </c>
      <c r="K39" s="216">
        <v>0</v>
      </c>
      <c r="L39" s="216">
        <v>1884.3144475419999</v>
      </c>
      <c r="M39" s="216">
        <v>26.379722984396299</v>
      </c>
      <c r="N39" s="216">
        <v>1.295465808408701</v>
      </c>
      <c r="O39" s="216">
        <v>23.029563124272102</v>
      </c>
      <c r="P39" s="216">
        <v>1.2572522375672499</v>
      </c>
      <c r="Q39" s="1001">
        <f t="shared" si="3"/>
        <v>1619.0535314934853</v>
      </c>
      <c r="R39" s="1001">
        <f t="shared" si="4"/>
        <v>6.8173098881684133</v>
      </c>
      <c r="S39" s="1001">
        <f t="shared" si="5"/>
        <v>7.2279936994236363E-2</v>
      </c>
      <c r="T39" s="1001">
        <f t="shared" si="6"/>
        <v>6.768095923539974</v>
      </c>
      <c r="U39" s="1001">
        <f t="shared" si="7"/>
        <v>0</v>
      </c>
      <c r="V39" s="1001">
        <v>5439.7583730680944</v>
      </c>
      <c r="W39" s="1001">
        <v>24331.234215444325</v>
      </c>
      <c r="Z39" s="1001">
        <f t="shared" si="8"/>
        <v>0.25842992711488583</v>
      </c>
    </row>
    <row r="40" spans="1:26" x14ac:dyDescent="0.25">
      <c r="A40" s="43">
        <v>1993</v>
      </c>
      <c r="B40" s="216">
        <v>1396.88592842926</v>
      </c>
      <c r="C40" s="216">
        <v>23.583330399453001</v>
      </c>
      <c r="D40" s="216">
        <v>1.0832429039651099</v>
      </c>
      <c r="E40" s="216">
        <v>20.743541842153402</v>
      </c>
      <c r="F40" s="216">
        <v>1.43351348272756</v>
      </c>
      <c r="G40" s="216">
        <v>1197.8957670094801</v>
      </c>
      <c r="H40" s="216">
        <v>6.0963694063806297</v>
      </c>
      <c r="I40" s="216">
        <v>5.9968030556571281E-2</v>
      </c>
      <c r="J40" s="216">
        <v>6.09636426066408</v>
      </c>
      <c r="K40" s="216">
        <v>0</v>
      </c>
      <c r="L40" s="216">
        <v>1880.2163753611101</v>
      </c>
      <c r="M40" s="216">
        <v>26.329110575262401</v>
      </c>
      <c r="N40" s="216">
        <v>1.30754467122171</v>
      </c>
      <c r="O40" s="216">
        <v>23.025303485696899</v>
      </c>
      <c r="P40" s="216">
        <v>1.2281891641459299</v>
      </c>
      <c r="Q40" s="1001">
        <f t="shared" si="3"/>
        <v>1612.3744904779753</v>
      </c>
      <c r="R40" s="1001">
        <f t="shared" si="4"/>
        <v>6.8061627212738953</v>
      </c>
      <c r="S40" s="1001">
        <f t="shared" si="5"/>
        <v>7.2385314974960577E-2</v>
      </c>
      <c r="T40" s="1001">
        <f t="shared" si="6"/>
        <v>6.7669561123788622</v>
      </c>
      <c r="U40" s="1001">
        <f t="shared" si="7"/>
        <v>0</v>
      </c>
      <c r="V40" s="1001">
        <v>5348.0316939134</v>
      </c>
      <c r="W40" s="1001">
        <v>24279.520156730327</v>
      </c>
      <c r="Z40" s="1001">
        <f t="shared" si="8"/>
        <v>0.25850332854269092</v>
      </c>
    </row>
    <row r="41" spans="1:26" x14ac:dyDescent="0.25">
      <c r="A41" s="43">
        <v>1994</v>
      </c>
      <c r="B41" s="216">
        <v>1396.3380211794999</v>
      </c>
      <c r="C41" s="216">
        <v>23.577027283106101</v>
      </c>
      <c r="D41" s="216">
        <v>1.2248454887934344</v>
      </c>
      <c r="E41" s="216">
        <v>20.743234648430501</v>
      </c>
      <c r="F41" s="216">
        <v>1.43331156782427</v>
      </c>
      <c r="G41" s="216">
        <v>1195.2709162661299</v>
      </c>
      <c r="H41" s="216">
        <v>6.0963640710378497</v>
      </c>
      <c r="I41" s="216">
        <v>5.9893190234517876E-2</v>
      </c>
      <c r="J41" s="216">
        <v>6.0963631452299998</v>
      </c>
      <c r="K41" s="216">
        <v>0</v>
      </c>
      <c r="L41" s="216">
        <v>1875.4085239614301</v>
      </c>
      <c r="M41" s="216">
        <v>26.281452896856599</v>
      </c>
      <c r="N41" s="216">
        <v>1.4904677098530468</v>
      </c>
      <c r="O41" s="216">
        <v>23.021115166873098</v>
      </c>
      <c r="P41" s="216">
        <v>1.2253478400883</v>
      </c>
      <c r="Q41" s="1001">
        <f t="shared" si="3"/>
        <v>1605.3571777091411</v>
      </c>
      <c r="R41" s="1001">
        <f t="shared" si="4"/>
        <v>6.7956533811993882</v>
      </c>
      <c r="S41" s="1001">
        <f t="shared" si="5"/>
        <v>7.2881736432381619E-2</v>
      </c>
      <c r="T41" s="1001">
        <f t="shared" si="6"/>
        <v>6.7658241563612389</v>
      </c>
      <c r="U41" s="1001">
        <f t="shared" si="7"/>
        <v>0</v>
      </c>
      <c r="V41" s="1001">
        <v>5415.1778739190504</v>
      </c>
      <c r="W41" s="1001">
        <v>24218.428699425691</v>
      </c>
      <c r="Z41" s="1001">
        <f t="shared" si="8"/>
        <v>0.25857221089980847</v>
      </c>
    </row>
    <row r="42" spans="1:26" x14ac:dyDescent="0.25">
      <c r="A42" s="43">
        <v>1995</v>
      </c>
      <c r="B42" s="216">
        <v>1396.7141115460799</v>
      </c>
      <c r="C42" s="216">
        <v>23.570582415919599</v>
      </c>
      <c r="D42" s="216">
        <v>1.2245761336842247</v>
      </c>
      <c r="E42" s="216">
        <v>20.742972915365598</v>
      </c>
      <c r="F42" s="216">
        <v>1.4331481820799401</v>
      </c>
      <c r="G42" s="216">
        <v>1193.2932926201099</v>
      </c>
      <c r="H42" s="216">
        <v>6.0963689757897797</v>
      </c>
      <c r="I42" s="216">
        <v>4.631641948530657E-2</v>
      </c>
      <c r="J42" s="216">
        <v>6.0963649349999702</v>
      </c>
      <c r="K42" s="216">
        <v>0</v>
      </c>
      <c r="L42" s="216">
        <v>1873.3091811910001</v>
      </c>
      <c r="M42" s="216">
        <v>26.243884636025399</v>
      </c>
      <c r="N42" s="216">
        <v>1.4631124298009972</v>
      </c>
      <c r="O42" s="216">
        <v>23.017934543917701</v>
      </c>
      <c r="P42" s="216">
        <v>1.1871756767603201</v>
      </c>
      <c r="Q42" s="1001">
        <f t="shared" si="3"/>
        <v>1600.4759044386162</v>
      </c>
      <c r="R42" s="1001">
        <f t="shared" si="4"/>
        <v>6.7878002026463387</v>
      </c>
      <c r="S42" s="1001">
        <f t="shared" si="5"/>
        <v>5.533843685892352E-2</v>
      </c>
      <c r="T42" s="1001">
        <f t="shared" si="6"/>
        <v>6.7649767274061521</v>
      </c>
      <c r="U42" s="1001">
        <f t="shared" si="7"/>
        <v>0</v>
      </c>
      <c r="V42" s="1001">
        <v>5360.1112682816693</v>
      </c>
      <c r="W42" s="1001">
        <v>24192.233492792442</v>
      </c>
      <c r="Z42" s="1001">
        <f t="shared" si="8"/>
        <v>0.25864311997960154</v>
      </c>
    </row>
    <row r="43" spans="1:26" x14ac:dyDescent="0.25">
      <c r="A43" s="43">
        <v>1996</v>
      </c>
      <c r="B43" s="216">
        <v>1396.7391852583901</v>
      </c>
      <c r="C43" s="216">
        <v>23.564544991692799</v>
      </c>
      <c r="D43" s="216">
        <v>1.22433223167584</v>
      </c>
      <c r="E43" s="216">
        <v>20.7426763112042</v>
      </c>
      <c r="F43" s="216">
        <v>1.4338682441347901</v>
      </c>
      <c r="G43" s="216">
        <v>1189.0026004234101</v>
      </c>
      <c r="H43" s="216">
        <v>6.0963577805072404</v>
      </c>
      <c r="I43" s="216">
        <v>4.4024001166957094E-2</v>
      </c>
      <c r="J43" s="216">
        <v>6.0963683740146397</v>
      </c>
      <c r="K43" s="216">
        <v>0</v>
      </c>
      <c r="L43" s="216">
        <v>1870.6503150787901</v>
      </c>
      <c r="M43" s="216">
        <v>26.208894128749002</v>
      </c>
      <c r="N43" s="216">
        <v>1.4475105184743109</v>
      </c>
      <c r="O43" s="216">
        <v>23.014949021051599</v>
      </c>
      <c r="P43" s="216">
        <v>1.1661316747971699</v>
      </c>
      <c r="Q43" s="1001">
        <f t="shared" si="3"/>
        <v>1592.4290752250104</v>
      </c>
      <c r="R43" s="1001">
        <f t="shared" si="4"/>
        <v>6.7804744669000092</v>
      </c>
      <c r="S43" s="1001">
        <f t="shared" si="5"/>
        <v>5.2048948076185195E-2</v>
      </c>
      <c r="T43" s="1001">
        <f t="shared" si="6"/>
        <v>6.7641998185986596</v>
      </c>
      <c r="U43" s="1001">
        <f t="shared" si="7"/>
        <v>0</v>
      </c>
      <c r="V43" s="1001">
        <v>5420.7424288973471</v>
      </c>
      <c r="W43" s="1001">
        <v>24158.532357297794</v>
      </c>
      <c r="Z43" s="1001">
        <f t="shared" si="8"/>
        <v>0.25870891131810048</v>
      </c>
    </row>
    <row r="44" spans="1:26" x14ac:dyDescent="0.25">
      <c r="A44" s="43">
        <v>1997</v>
      </c>
      <c r="B44" s="216">
        <v>1396.8055730460301</v>
      </c>
      <c r="C44" s="216">
        <v>23.558823084109498</v>
      </c>
      <c r="D44" s="216">
        <v>1.2240952208516998</v>
      </c>
      <c r="E44" s="216">
        <v>20.7424186181354</v>
      </c>
      <c r="F44" s="216">
        <v>1.4337037876109999</v>
      </c>
      <c r="G44" s="216">
        <v>1186.6779804396599</v>
      </c>
      <c r="H44" s="216">
        <v>6.09636250155644</v>
      </c>
      <c r="I44" s="216">
        <v>4.2791062399733806E-2</v>
      </c>
      <c r="J44" s="216">
        <v>6.0963741389978097</v>
      </c>
      <c r="K44" s="216">
        <v>0</v>
      </c>
      <c r="L44" s="216">
        <v>1868.84791587019</v>
      </c>
      <c r="M44" s="216">
        <v>26.1807991348828</v>
      </c>
      <c r="N44" s="216">
        <v>1.437305706167689</v>
      </c>
      <c r="O44" s="216">
        <v>23.012624952036798</v>
      </c>
      <c r="P44" s="216">
        <v>1.15088897545258</v>
      </c>
      <c r="Q44" s="1001">
        <f t="shared" si="3"/>
        <v>1587.708921949313</v>
      </c>
      <c r="R44" s="1001">
        <f t="shared" si="4"/>
        <v>6.774856347316291</v>
      </c>
      <c r="S44" s="1001">
        <f t="shared" si="5"/>
        <v>5.0244325043048502E-2</v>
      </c>
      <c r="T44" s="1001">
        <f t="shared" si="6"/>
        <v>6.7636071863573397</v>
      </c>
      <c r="U44" s="1001">
        <f t="shared" si="7"/>
        <v>0</v>
      </c>
      <c r="V44" s="1001">
        <v>5329.6112960629671</v>
      </c>
      <c r="W44" s="1001">
        <v>24135.915684925625</v>
      </c>
      <c r="Z44" s="1001">
        <f t="shared" si="8"/>
        <v>0.25877194628064659</v>
      </c>
    </row>
    <row r="45" spans="1:26" x14ac:dyDescent="0.25">
      <c r="A45" s="43">
        <v>1998</v>
      </c>
      <c r="B45" s="216">
        <v>1396.7369688286501</v>
      </c>
      <c r="C45" s="216">
        <v>19.121975372419499</v>
      </c>
      <c r="D45" s="216">
        <v>0.88130386056052246</v>
      </c>
      <c r="E45" s="216">
        <v>16.812505969289202</v>
      </c>
      <c r="F45" s="216">
        <v>1.4335356781005</v>
      </c>
      <c r="G45" s="216">
        <v>1184.2627139797501</v>
      </c>
      <c r="H45" s="216">
        <v>3.6998606702472601</v>
      </c>
      <c r="I45" s="216">
        <v>3.8605640524828164E-2</v>
      </c>
      <c r="J45" s="216">
        <v>3.6998651950035999</v>
      </c>
      <c r="K45" s="216">
        <v>0</v>
      </c>
      <c r="L45" s="216">
        <v>1866.7040272771101</v>
      </c>
      <c r="M45" s="216">
        <v>23.387176309645099</v>
      </c>
      <c r="N45" s="216">
        <v>0.94914518105535306</v>
      </c>
      <c r="O45" s="216">
        <v>20.558198950184899</v>
      </c>
      <c r="P45" s="216">
        <v>1.1545142512791899</v>
      </c>
      <c r="Q45" s="1001">
        <f t="shared" si="3"/>
        <v>1582.7374995265279</v>
      </c>
      <c r="R45" s="1001">
        <f t="shared" si="4"/>
        <v>4.5251231701197314</v>
      </c>
      <c r="S45" s="1001">
        <f t="shared" si="5"/>
        <v>4.1577439184699375E-2</v>
      </c>
      <c r="T45" s="1001">
        <f t="shared" si="6"/>
        <v>4.5241658148219779</v>
      </c>
      <c r="U45" s="1001">
        <f t="shared" si="7"/>
        <v>0</v>
      </c>
      <c r="V45" s="1001">
        <v>5340.29086396207</v>
      </c>
      <c r="W45" s="1001">
        <v>24108.919583158859</v>
      </c>
      <c r="Z45" s="1001">
        <f t="shared" si="8"/>
        <v>0.19348736718821105</v>
      </c>
    </row>
    <row r="46" spans="1:26" x14ac:dyDescent="0.25">
      <c r="A46" s="43">
        <v>1999</v>
      </c>
      <c r="B46" s="216">
        <v>1395.8665574148299</v>
      </c>
      <c r="C46" s="216">
        <v>15.4378547421726</v>
      </c>
      <c r="D46" s="216">
        <v>0.88108243232203731</v>
      </c>
      <c r="E46" s="216">
        <v>13.549889909335</v>
      </c>
      <c r="F46" s="216">
        <v>1.4333457192532499</v>
      </c>
      <c r="G46" s="216">
        <v>1181.6510317688501</v>
      </c>
      <c r="H46" s="216">
        <v>3.6998580891646702</v>
      </c>
      <c r="I46" s="216">
        <v>3.8009568203424507E-2</v>
      </c>
      <c r="J46" s="216">
        <v>3.6998692296723101</v>
      </c>
      <c r="K46" s="216">
        <v>0</v>
      </c>
      <c r="L46" s="216">
        <v>1863.8115191598999</v>
      </c>
      <c r="M46" s="216">
        <v>17.36320115525</v>
      </c>
      <c r="N46" s="216">
        <v>0.94058563386383431</v>
      </c>
      <c r="O46" s="216">
        <v>15.236226582976499</v>
      </c>
      <c r="P46" s="216">
        <v>1.1652213157214999</v>
      </c>
      <c r="Q46" s="1001">
        <f t="shared" si="3"/>
        <v>1577.7832006497827</v>
      </c>
      <c r="R46" s="1001">
        <f t="shared" si="4"/>
        <v>4.161289332030873</v>
      </c>
      <c r="S46" s="1001">
        <f t="shared" si="5"/>
        <v>4.0576514171651909E-2</v>
      </c>
      <c r="T46" s="1001">
        <f t="shared" si="6"/>
        <v>4.1603323929468479</v>
      </c>
      <c r="U46" s="1001">
        <f t="shared" si="7"/>
        <v>0</v>
      </c>
      <c r="V46" s="1001">
        <v>5375.6577699771296</v>
      </c>
      <c r="W46" s="1001">
        <v>24072.162029868901</v>
      </c>
      <c r="Z46" s="1001">
        <f t="shared" si="8"/>
        <v>0.23966141351605835</v>
      </c>
    </row>
    <row r="47" spans="1:26" x14ac:dyDescent="0.25">
      <c r="A47" s="43">
        <v>2000</v>
      </c>
      <c r="B47" s="216">
        <v>1394.9806330487299</v>
      </c>
      <c r="C47" s="216">
        <v>15.4323001567299</v>
      </c>
      <c r="D47" s="216">
        <v>0.88085158983961631</v>
      </c>
      <c r="E47" s="216">
        <v>13.549573052992899</v>
      </c>
      <c r="F47" s="216">
        <v>1.43314532178236</v>
      </c>
      <c r="G47" s="216">
        <v>1178.99502704976</v>
      </c>
      <c r="H47" s="216">
        <v>3.6998593414085699</v>
      </c>
      <c r="I47" s="216">
        <v>3.3832311420434122E-2</v>
      </c>
      <c r="J47" s="216">
        <v>3.6998649670716999</v>
      </c>
      <c r="K47" s="216">
        <v>0</v>
      </c>
      <c r="L47" s="216">
        <v>1861.3168990239899</v>
      </c>
      <c r="M47" s="216">
        <v>17.0275894148416</v>
      </c>
      <c r="N47" s="216">
        <v>0.91923434259196002</v>
      </c>
      <c r="O47" s="216">
        <v>14.956202822594401</v>
      </c>
      <c r="P47" s="216">
        <v>1.19772800264454</v>
      </c>
      <c r="Q47" s="1001">
        <f t="shared" si="3"/>
        <v>1573.128196709743</v>
      </c>
      <c r="R47" s="1001">
        <f t="shared" si="4"/>
        <v>4.0823263621332391</v>
      </c>
      <c r="S47" s="1001">
        <f t="shared" si="5"/>
        <v>3.5306540744953201E-2</v>
      </c>
      <c r="T47" s="1001">
        <f t="shared" si="6"/>
        <v>4.0839612176202857</v>
      </c>
      <c r="U47" s="1001">
        <f t="shared" si="7"/>
        <v>0</v>
      </c>
      <c r="V47" s="1001">
        <v>5363.3273578955786</v>
      </c>
      <c r="W47" s="1001">
        <v>24040.47511330379</v>
      </c>
      <c r="Z47" s="1001">
        <f t="shared" si="8"/>
        <v>0.23974775657762795</v>
      </c>
    </row>
    <row r="48" spans="1:26" x14ac:dyDescent="0.25">
      <c r="A48" s="43">
        <v>2001</v>
      </c>
      <c r="B48" s="216">
        <v>1394.1500251274099</v>
      </c>
      <c r="C48" s="216">
        <v>15.4270911503164</v>
      </c>
      <c r="D48" s="216">
        <v>0.88063449351226009</v>
      </c>
      <c r="E48" s="216">
        <v>13.5493633470722</v>
      </c>
      <c r="F48" s="216">
        <v>1.4329634523614101</v>
      </c>
      <c r="G48" s="216">
        <v>1176.5074996114199</v>
      </c>
      <c r="H48" s="216">
        <v>3.6998657449278798</v>
      </c>
      <c r="I48" s="216">
        <v>3.0474450111318462E-2</v>
      </c>
      <c r="J48" s="216">
        <v>3.69986288052</v>
      </c>
      <c r="K48" s="216">
        <v>0</v>
      </c>
      <c r="L48" s="216">
        <v>1859.6117119793901</v>
      </c>
      <c r="M48" s="216">
        <v>17.9548053440869</v>
      </c>
      <c r="N48" s="216">
        <v>0.98146595805826709</v>
      </c>
      <c r="O48" s="216">
        <v>15.7938745842313</v>
      </c>
      <c r="P48" s="216">
        <v>1.1135541259956301</v>
      </c>
      <c r="Q48" s="1001">
        <f t="shared" si="3"/>
        <v>1569.3053732212493</v>
      </c>
      <c r="R48" s="1001">
        <f t="shared" si="4"/>
        <v>4.306085223854577</v>
      </c>
      <c r="S48" s="1001">
        <f t="shared" si="5"/>
        <v>3.3963733643358182E-2</v>
      </c>
      <c r="T48" s="1001">
        <f t="shared" si="6"/>
        <v>4.312761331801803</v>
      </c>
      <c r="U48" s="1001">
        <f t="shared" si="7"/>
        <v>0</v>
      </c>
      <c r="V48" s="1001">
        <v>5440.1659652220651</v>
      </c>
      <c r="W48" s="1001">
        <v>24018.896390855698</v>
      </c>
      <c r="Z48" s="1001">
        <f t="shared" si="8"/>
        <v>0.23982912325321926</v>
      </c>
    </row>
    <row r="49" spans="1:26" x14ac:dyDescent="0.25">
      <c r="A49" s="43">
        <v>2002</v>
      </c>
      <c r="B49" s="216">
        <v>1393.37338350805</v>
      </c>
      <c r="C49" s="216">
        <v>15.4222445645968</v>
      </c>
      <c r="D49" s="216">
        <v>0.88043468956799731</v>
      </c>
      <c r="E49" s="216">
        <v>13.549145682870799</v>
      </c>
      <c r="F49" s="216">
        <v>1.4327922603251499</v>
      </c>
      <c r="G49" s="216">
        <v>1174.20302870362</v>
      </c>
      <c r="H49" s="216">
        <v>3.6998601274957998</v>
      </c>
      <c r="I49" s="216">
        <v>2.7426949399173978E-2</v>
      </c>
      <c r="J49" s="216">
        <v>3.6998732669997301</v>
      </c>
      <c r="K49" s="216">
        <v>0</v>
      </c>
      <c r="L49" s="216">
        <v>1857.4893767480301</v>
      </c>
      <c r="M49" s="216">
        <v>17.950247112942598</v>
      </c>
      <c r="N49" s="216">
        <v>0.98188480905340048</v>
      </c>
      <c r="O49" s="216">
        <v>15.804059931212199</v>
      </c>
      <c r="P49" s="216">
        <v>1.1099029267568401</v>
      </c>
      <c r="Q49" s="1001">
        <f t="shared" si="3"/>
        <v>1565.3160005619814</v>
      </c>
      <c r="R49" s="1001">
        <f t="shared" si="4"/>
        <v>4.3063383733604557</v>
      </c>
      <c r="S49" s="1001">
        <f t="shared" si="5"/>
        <v>3.0587282955580733E-2</v>
      </c>
      <c r="T49" s="1001">
        <f t="shared" si="6"/>
        <v>4.3156240414092526</v>
      </c>
      <c r="U49" s="1001">
        <f t="shared" si="7"/>
        <v>0</v>
      </c>
      <c r="V49" s="1001">
        <v>5428.3543954047009</v>
      </c>
      <c r="W49" s="1001">
        <v>23991.916125610489</v>
      </c>
      <c r="Z49" s="1001">
        <f t="shared" si="8"/>
        <v>0.23990412757356822</v>
      </c>
    </row>
    <row r="50" spans="1:26" x14ac:dyDescent="0.25">
      <c r="A50" s="43">
        <v>2003</v>
      </c>
      <c r="B50" s="216">
        <v>1393.00358135439</v>
      </c>
      <c r="C50" s="216">
        <v>8.9322220009118407</v>
      </c>
      <c r="D50" s="216">
        <v>0.76677375353659227</v>
      </c>
      <c r="E50" s="216">
        <v>7.7976759878097202</v>
      </c>
      <c r="F50" s="216">
        <v>0.98332185097106295</v>
      </c>
      <c r="G50" s="216">
        <v>1172.19855963495</v>
      </c>
      <c r="H50" s="216">
        <v>3.6998648092358</v>
      </c>
      <c r="I50" s="216">
        <v>2.7829801121718418E-2</v>
      </c>
      <c r="J50" s="216">
        <v>3.6998660322446502</v>
      </c>
      <c r="K50" s="216">
        <v>0</v>
      </c>
      <c r="L50" s="216">
        <v>1856.26777606119</v>
      </c>
      <c r="M50" s="216">
        <v>9.8405105233930001</v>
      </c>
      <c r="N50" s="216">
        <v>0.89087391573909192</v>
      </c>
      <c r="O50" s="216">
        <v>8.6241187551430993</v>
      </c>
      <c r="P50" s="216">
        <v>0.959154841426339</v>
      </c>
      <c r="Q50" s="1001">
        <f t="shared" si="3"/>
        <v>1562.0307388442607</v>
      </c>
      <c r="R50" s="1001">
        <f t="shared" si="4"/>
        <v>4.0760919944331411</v>
      </c>
      <c r="S50" s="1001">
        <f t="shared" si="5"/>
        <v>3.2333975680822892E-2</v>
      </c>
      <c r="T50" s="1001">
        <f t="shared" si="6"/>
        <v>4.0919992174694855</v>
      </c>
      <c r="U50" s="1001">
        <f t="shared" si="7"/>
        <v>0</v>
      </c>
      <c r="V50" s="1001">
        <v>5418.5615849696433</v>
      </c>
      <c r="W50" s="1001">
        <v>23976.505547945348</v>
      </c>
      <c r="Z50" s="1001">
        <f t="shared" si="8"/>
        <v>0.41421550078559416</v>
      </c>
    </row>
    <row r="51" spans="1:26" x14ac:dyDescent="0.25">
      <c r="A51" s="43">
        <v>2004</v>
      </c>
      <c r="B51" s="216">
        <v>1392.26765203575</v>
      </c>
      <c r="C51" s="216">
        <v>8.9276178290400594</v>
      </c>
      <c r="D51" s="216">
        <v>0.76658220343874772</v>
      </c>
      <c r="E51" s="216">
        <v>7.7974623703900701</v>
      </c>
      <c r="F51" s="216">
        <v>0.98315732559786095</v>
      </c>
      <c r="G51" s="216">
        <v>1170.0180305725501</v>
      </c>
      <c r="H51" s="216">
        <v>3.69986164637558</v>
      </c>
      <c r="I51" s="216">
        <v>2.8056752532867282E-2</v>
      </c>
      <c r="J51" s="216">
        <v>3.69985753542344</v>
      </c>
      <c r="K51" s="216">
        <v>0</v>
      </c>
      <c r="L51" s="216">
        <v>1854.66167646544</v>
      </c>
      <c r="M51" s="216">
        <v>9.8267764844452401</v>
      </c>
      <c r="N51" s="216">
        <v>0.89052037509831039</v>
      </c>
      <c r="O51" s="216">
        <v>8.6229687002601008</v>
      </c>
      <c r="P51" s="216">
        <v>0.95850009872778696</v>
      </c>
      <c r="Q51" s="1001">
        <f t="shared" si="3"/>
        <v>1558.5994538503853</v>
      </c>
      <c r="R51" s="1001">
        <f t="shared" si="4"/>
        <v>4.0724988589944777</v>
      </c>
      <c r="S51" s="1001">
        <f t="shared" si="5"/>
        <v>3.2592864375837062E-2</v>
      </c>
      <c r="T51" s="1001">
        <f t="shared" si="6"/>
        <v>4.0915562278990265</v>
      </c>
      <c r="U51" s="1001">
        <f t="shared" si="7"/>
        <v>0</v>
      </c>
      <c r="V51" s="1001">
        <v>5407.8074181917409</v>
      </c>
      <c r="W51" s="1001">
        <v>23956.07987562304</v>
      </c>
      <c r="Z51" s="1001">
        <f t="shared" si="8"/>
        <v>0.41442876669076761</v>
      </c>
    </row>
    <row r="52" spans="1:26" x14ac:dyDescent="0.25">
      <c r="A52" s="43">
        <v>2005</v>
      </c>
      <c r="B52" s="216">
        <v>1391.5302267065799</v>
      </c>
      <c r="C52" s="216">
        <v>8.9230131005549698</v>
      </c>
      <c r="D52" s="216">
        <v>0.76639129096849945</v>
      </c>
      <c r="E52" s="216">
        <v>7.7972401387356198</v>
      </c>
      <c r="F52" s="216">
        <v>0.98299236497079601</v>
      </c>
      <c r="G52" s="216">
        <v>1167.8299556316999</v>
      </c>
      <c r="H52" s="216">
        <v>3.6998708501955901</v>
      </c>
      <c r="I52" s="216">
        <v>2.7944144400997368E-2</v>
      </c>
      <c r="J52" s="216">
        <v>3.69986667975212</v>
      </c>
      <c r="K52" s="216">
        <v>0</v>
      </c>
      <c r="L52" s="216">
        <v>1853.1743077605699</v>
      </c>
      <c r="M52" s="216">
        <v>9.8139725569676006</v>
      </c>
      <c r="N52" s="216">
        <v>0.89019179212486377</v>
      </c>
      <c r="O52" s="216">
        <v>8.6218619856735597</v>
      </c>
      <c r="P52" s="216">
        <v>0.95788715423269399</v>
      </c>
      <c r="Q52" s="1001">
        <f t="shared" si="3"/>
        <v>1555.2608402420119</v>
      </c>
      <c r="R52" s="1001">
        <f t="shared" si="4"/>
        <v>4.069301544103479</v>
      </c>
      <c r="S52" s="1001">
        <f t="shared" si="5"/>
        <v>3.2458155875289399E-2</v>
      </c>
      <c r="T52" s="1001">
        <f t="shared" si="6"/>
        <v>4.091157808484251</v>
      </c>
      <c r="U52" s="1001">
        <f t="shared" si="7"/>
        <v>0</v>
      </c>
      <c r="V52" s="1001">
        <v>5397.5812220243342</v>
      </c>
      <c r="W52" s="1001">
        <v>23937.180425032486</v>
      </c>
      <c r="Z52" s="1001">
        <f t="shared" si="8"/>
        <v>0.41464366447758272</v>
      </c>
    </row>
    <row r="53" spans="1:26" x14ac:dyDescent="0.25">
      <c r="A53" s="43">
        <v>2006</v>
      </c>
      <c r="B53" s="216">
        <v>1390.8359974979101</v>
      </c>
      <c r="C53" s="216">
        <v>8.9186685949505602</v>
      </c>
      <c r="D53" s="216">
        <v>0.76621199224444358</v>
      </c>
      <c r="E53" s="216">
        <v>7.7970386903127604</v>
      </c>
      <c r="F53" s="216">
        <v>0.98283879412478503</v>
      </c>
      <c r="G53" s="216">
        <v>1165.7756999605001</v>
      </c>
      <c r="H53" s="216">
        <v>3.69986575539401</v>
      </c>
      <c r="I53" s="216">
        <v>2.4967825285027473E-2</v>
      </c>
      <c r="J53" s="216">
        <v>3.6998656443226801</v>
      </c>
      <c r="K53" s="216">
        <v>0</v>
      </c>
      <c r="L53" s="216">
        <v>1851.93694607624</v>
      </c>
      <c r="M53" s="216">
        <v>9.8032862212006098</v>
      </c>
      <c r="N53" s="216">
        <v>0.88991635849784023</v>
      </c>
      <c r="O53" s="216">
        <v>8.6209601232092403</v>
      </c>
      <c r="P53" s="216">
        <v>0.95737744380652301</v>
      </c>
      <c r="Q53" s="1001">
        <f t="shared" si="3"/>
        <v>1552.2628789293926</v>
      </c>
      <c r="R53" s="1001">
        <f t="shared" si="4"/>
        <v>4.0668450222134469</v>
      </c>
      <c r="S53" s="1001">
        <f t="shared" si="5"/>
        <v>2.8998862432543817E-2</v>
      </c>
      <c r="T53" s="1001">
        <f t="shared" si="6"/>
        <v>4.090834411347295</v>
      </c>
      <c r="U53" s="1001">
        <f t="shared" si="7"/>
        <v>0</v>
      </c>
      <c r="V53" s="1001">
        <v>5387.990810051936</v>
      </c>
      <c r="W53" s="1001">
        <v>23921.45978741621</v>
      </c>
      <c r="Z53" s="1001">
        <f t="shared" si="8"/>
        <v>0.41484507648246344</v>
      </c>
    </row>
    <row r="54" spans="1:26" x14ac:dyDescent="0.25">
      <c r="A54" s="43">
        <v>2007</v>
      </c>
      <c r="B54" s="216">
        <v>1393.13636318255</v>
      </c>
      <c r="C54" s="216">
        <v>4.5218769866857702</v>
      </c>
      <c r="D54" s="216">
        <v>5.3563464838265809E-2</v>
      </c>
      <c r="E54" s="216">
        <v>3.9014293516732801</v>
      </c>
      <c r="F54" s="216">
        <v>0.103950420200252</v>
      </c>
      <c r="G54" s="216">
        <v>1163.7222129279701</v>
      </c>
      <c r="H54" s="216">
        <v>3.6998618544625601</v>
      </c>
      <c r="I54" s="216">
        <v>2.4887832248590161E-2</v>
      </c>
      <c r="J54" s="216">
        <v>3.6998694976282498</v>
      </c>
      <c r="K54" s="216">
        <v>0</v>
      </c>
      <c r="L54" s="216">
        <v>1853.28694076225</v>
      </c>
      <c r="M54" s="216">
        <v>4.9370758416967204</v>
      </c>
      <c r="N54" s="216">
        <v>8.3585763741716224E-2</v>
      </c>
      <c r="O54" s="216">
        <v>4.3135089787569196</v>
      </c>
      <c r="P54" s="216">
        <v>0.10766406269411199</v>
      </c>
      <c r="Q54" s="1001">
        <f t="shared" si="3"/>
        <v>1548.0976858341814</v>
      </c>
      <c r="R54" s="1001">
        <f t="shared" si="4"/>
        <v>4.0395832600192962</v>
      </c>
      <c r="S54" s="1001">
        <f t="shared" si="5"/>
        <v>3.8837451472854993E-2</v>
      </c>
      <c r="T54" s="1001">
        <f t="shared" si="6"/>
        <v>4.0906598222529622</v>
      </c>
      <c r="U54" s="1001">
        <f t="shared" si="7"/>
        <v>0</v>
      </c>
      <c r="V54" s="1001">
        <v>5378.9933048003959</v>
      </c>
      <c r="W54" s="1001">
        <v>23906.618545704263</v>
      </c>
      <c r="Z54" s="1001">
        <f t="shared" si="8"/>
        <v>0.81821373411007103</v>
      </c>
    </row>
    <row r="55" spans="1:26" x14ac:dyDescent="0.25">
      <c r="A55" s="43">
        <v>2008</v>
      </c>
      <c r="B55" s="216">
        <v>1393.29148688702</v>
      </c>
      <c r="C55" s="216">
        <v>4.5156446252331603</v>
      </c>
      <c r="D55" s="216">
        <v>4.7634201010689686E-2</v>
      </c>
      <c r="E55" s="216">
        <v>3.8993755682558899</v>
      </c>
      <c r="F55" s="216">
        <v>0.10239113106462699</v>
      </c>
      <c r="G55" s="216">
        <v>1162.4411011956299</v>
      </c>
      <c r="H55" s="216">
        <v>3.69986419830893</v>
      </c>
      <c r="I55" s="216">
        <v>2.4812898791077488E-2</v>
      </c>
      <c r="J55" s="216">
        <v>3.6998693561490001</v>
      </c>
      <c r="K55" s="216">
        <v>0</v>
      </c>
      <c r="L55" s="216">
        <v>1853.2997032916701</v>
      </c>
      <c r="M55" s="216">
        <v>4.9260322105950598</v>
      </c>
      <c r="N55" s="216">
        <v>7.5998871233850573E-2</v>
      </c>
      <c r="O55" s="216">
        <v>4.3106951551246802</v>
      </c>
      <c r="P55" s="216">
        <v>0.10605488003703401</v>
      </c>
      <c r="Q55" s="1001">
        <f t="shared" si="3"/>
        <v>1546.231903528882</v>
      </c>
      <c r="R55" s="1001">
        <f t="shared" si="4"/>
        <v>4.0361126103354943</v>
      </c>
      <c r="S55" s="1001">
        <f t="shared" si="5"/>
        <v>3.9588200497757464E-2</v>
      </c>
      <c r="T55" s="1001">
        <f t="shared" si="6"/>
        <v>4.0901443395152182</v>
      </c>
      <c r="U55" s="1001">
        <f t="shared" si="7"/>
        <v>0</v>
      </c>
      <c r="V55" s="1001">
        <v>5271.6328594330262</v>
      </c>
      <c r="W55" s="1001">
        <v>23907.561870925991</v>
      </c>
      <c r="Z55" s="1001">
        <f t="shared" si="8"/>
        <v>0.81934352797257415</v>
      </c>
    </row>
    <row r="56" spans="1:26" x14ac:dyDescent="0.25">
      <c r="A56" s="43">
        <v>2009</v>
      </c>
      <c r="B56" s="216">
        <v>1392.6192310968099</v>
      </c>
      <c r="C56" s="216">
        <v>4.5116048626268501</v>
      </c>
      <c r="D56" s="216">
        <v>4.7633922972648707E-2</v>
      </c>
      <c r="E56" s="216">
        <v>3.89918294211579</v>
      </c>
      <c r="F56" s="216">
        <v>0.102327999761033</v>
      </c>
      <c r="G56" s="216">
        <v>1160.5270754210401</v>
      </c>
      <c r="H56" s="216">
        <v>3.6998681079962701</v>
      </c>
      <c r="I56" s="216">
        <v>2.4738252331758387E-2</v>
      </c>
      <c r="J56" s="216">
        <v>3.69985562689476</v>
      </c>
      <c r="K56" s="216">
        <v>0</v>
      </c>
      <c r="L56" s="216">
        <v>1852.34352848145</v>
      </c>
      <c r="M56" s="216">
        <v>4.9181158038916601</v>
      </c>
      <c r="N56" s="216">
        <v>7.5998439593283937E-2</v>
      </c>
      <c r="O56" s="216">
        <v>4.31001579141485</v>
      </c>
      <c r="P56" s="216">
        <v>0.105894363005133</v>
      </c>
      <c r="Q56" s="1001">
        <f t="shared" si="3"/>
        <v>1543.6343041813332</v>
      </c>
      <c r="R56" s="1001">
        <f t="shared" si="4"/>
        <v>4.033238807100779</v>
      </c>
      <c r="S56" s="1001">
        <f t="shared" si="5"/>
        <v>3.9469110628534344E-2</v>
      </c>
      <c r="T56" s="1001">
        <f t="shared" si="6"/>
        <v>4.0896865868054366</v>
      </c>
      <c r="U56" s="1001">
        <f t="shared" si="7"/>
        <v>0</v>
      </c>
      <c r="V56" s="1001">
        <v>5199.5743954107138</v>
      </c>
      <c r="W56" s="1001">
        <v>23895.926265922586</v>
      </c>
      <c r="Z56" s="1001">
        <f t="shared" si="8"/>
        <v>0.82007804775749971</v>
      </c>
    </row>
    <row r="57" spans="1:26" x14ac:dyDescent="0.25">
      <c r="A57" s="43">
        <v>2010</v>
      </c>
      <c r="B57" s="216">
        <v>1390.9183284656999</v>
      </c>
      <c r="C57" s="216">
        <v>1.6760393953157799</v>
      </c>
      <c r="D57" s="216">
        <v>4.5958139680688979E-2</v>
      </c>
      <c r="E57" s="216">
        <v>1.38785587882015</v>
      </c>
      <c r="F57" s="216">
        <v>6.6031232050939206E-2</v>
      </c>
      <c r="G57" s="216">
        <v>1158.6279649998201</v>
      </c>
      <c r="H57" s="216">
        <v>3.6998665201005001</v>
      </c>
      <c r="I57" s="216">
        <v>2.4664291734122622E-2</v>
      </c>
      <c r="J57" s="216">
        <v>3.6998704386640502</v>
      </c>
      <c r="K57" s="216">
        <v>0</v>
      </c>
      <c r="L57" s="216">
        <v>1850.7625456236001</v>
      </c>
      <c r="M57" s="216">
        <v>1.7807879389119501</v>
      </c>
      <c r="N57" s="216">
        <v>7.3856173112447382E-2</v>
      </c>
      <c r="O57" s="216">
        <v>1.5332357342943801</v>
      </c>
      <c r="P57" s="216">
        <v>7.9629069893299501E-2</v>
      </c>
      <c r="Q57" s="1001">
        <f t="shared" si="3"/>
        <v>1541.6758827954707</v>
      </c>
      <c r="R57" s="1001">
        <f t="shared" si="4"/>
        <v>3.9310995272505136</v>
      </c>
      <c r="S57" s="1001">
        <f t="shared" si="5"/>
        <v>3.9636291039358208E-2</v>
      </c>
      <c r="T57" s="1001">
        <f t="shared" si="6"/>
        <v>4.0874370713778347</v>
      </c>
      <c r="U57" s="1001">
        <f t="shared" si="7"/>
        <v>0</v>
      </c>
      <c r="V57" s="1001">
        <v>5278.2821689025395</v>
      </c>
      <c r="W57" s="1001">
        <v>23885.775011874903</v>
      </c>
      <c r="Z57" s="1001">
        <f t="shared" si="8"/>
        <v>2.2075057009047296</v>
      </c>
    </row>
    <row r="58" spans="1:26" x14ac:dyDescent="0.25">
      <c r="A58" s="43">
        <v>2011</v>
      </c>
      <c r="B58" s="216">
        <v>1390.2718086069599</v>
      </c>
      <c r="C58" s="216">
        <v>1.5448570448751</v>
      </c>
      <c r="D58" s="216">
        <v>4.3505528574998072E-2</v>
      </c>
      <c r="E58" s="216">
        <v>1.2744988676959299</v>
      </c>
      <c r="F58" s="216">
        <v>6.3971616263123005E-2</v>
      </c>
      <c r="G58" s="216">
        <v>1156.92589635079</v>
      </c>
      <c r="H58" s="216">
        <v>3.6998690526305298</v>
      </c>
      <c r="I58" s="216">
        <v>2.3080041756014438E-2</v>
      </c>
      <c r="J58" s="216">
        <v>3.6998616917193199</v>
      </c>
      <c r="K58" s="216">
        <v>0</v>
      </c>
      <c r="L58" s="216">
        <v>1850.00107205526</v>
      </c>
      <c r="M58" s="216">
        <v>1.7744948035893</v>
      </c>
      <c r="N58" s="216">
        <v>7.3855811549935035E-2</v>
      </c>
      <c r="O58" s="216">
        <v>1.5326959830909599</v>
      </c>
      <c r="P58" s="216">
        <v>7.9501363400970596E-2</v>
      </c>
      <c r="Q58" s="1001">
        <f t="shared" si="3"/>
        <v>1539.4933100758406</v>
      </c>
      <c r="R58" s="1001">
        <f t="shared" si="4"/>
        <v>4.2498420353091939</v>
      </c>
      <c r="S58" s="1001">
        <f t="shared" si="5"/>
        <v>3.9181117212685412E-2</v>
      </c>
      <c r="T58" s="1001">
        <f t="shared" si="6"/>
        <v>4.4494061914249237</v>
      </c>
      <c r="U58" s="1001">
        <f t="shared" si="7"/>
        <v>0</v>
      </c>
      <c r="V58" s="1001">
        <v>5362.681980665433</v>
      </c>
      <c r="W58" s="1001">
        <v>23876.507988437181</v>
      </c>
      <c r="Z58" s="1001">
        <f t="shared" si="8"/>
        <v>2.39495885066159</v>
      </c>
    </row>
    <row r="59" spans="1:26" x14ac:dyDescent="0.25">
      <c r="A59" s="43">
        <v>2012</v>
      </c>
      <c r="B59" s="216">
        <v>1389.6526169978299</v>
      </c>
      <c r="C59" s="216">
        <v>1.54113843532105</v>
      </c>
      <c r="D59" s="216">
        <v>4.3505198588036191E-2</v>
      </c>
      <c r="E59" s="216">
        <v>1.27432393844806</v>
      </c>
      <c r="F59" s="216">
        <v>6.3913736461183895E-2</v>
      </c>
      <c r="G59" s="216">
        <v>1155.1636032362301</v>
      </c>
      <c r="H59" s="216">
        <v>3.6998667359566801</v>
      </c>
      <c r="I59" s="216">
        <v>2.3023510728312081E-2</v>
      </c>
      <c r="J59" s="216">
        <v>3.6998551320926998</v>
      </c>
      <c r="K59" s="216">
        <v>0</v>
      </c>
      <c r="L59" s="216">
        <v>1849.3337675795699</v>
      </c>
      <c r="M59" s="216">
        <v>1.7689810017271099</v>
      </c>
      <c r="N59" s="216">
        <v>7.385551677898046E-2</v>
      </c>
      <c r="O59" s="216">
        <v>1.5322303015960499</v>
      </c>
      <c r="P59" s="216">
        <v>7.9389586268214796E-2</v>
      </c>
      <c r="Q59" s="1001">
        <f t="shared" si="3"/>
        <v>1537.2784769468647</v>
      </c>
      <c r="R59" s="1001">
        <f t="shared" si="4"/>
        <v>4.2468566189941317</v>
      </c>
      <c r="S59" s="1001">
        <f t="shared" si="5"/>
        <v>3.9085289530743535E-2</v>
      </c>
      <c r="T59" s="1001">
        <f t="shared" si="6"/>
        <v>4.4486570281432041</v>
      </c>
      <c r="U59" s="1001">
        <f t="shared" si="7"/>
        <v>0</v>
      </c>
      <c r="V59" s="1001">
        <v>4912.7485879864989</v>
      </c>
      <c r="W59" s="1001">
        <v>23868.402716326378</v>
      </c>
      <c r="Z59" s="1001">
        <f t="shared" si="8"/>
        <v>2.4007361384027281</v>
      </c>
    </row>
    <row r="60" spans="1:26" x14ac:dyDescent="0.25">
      <c r="A60" s="43">
        <v>2013</v>
      </c>
      <c r="B60" s="216">
        <v>1389.34526939338</v>
      </c>
      <c r="C60" s="216">
        <v>1.27246529501915</v>
      </c>
      <c r="D60" s="216">
        <v>3.8082643680780542E-2</v>
      </c>
      <c r="E60" s="216">
        <v>1.0389817920503399</v>
      </c>
      <c r="F60" s="216">
        <v>5.8842423394045398E-2</v>
      </c>
      <c r="G60" s="216">
        <v>1153.83276893946</v>
      </c>
      <c r="H60" s="216">
        <v>3.6998649002197901</v>
      </c>
      <c r="I60" s="216">
        <v>2.2238031617323233E-2</v>
      </c>
      <c r="J60" s="216">
        <v>3.6998664420450398</v>
      </c>
      <c r="K60" s="216">
        <v>0</v>
      </c>
      <c r="L60" s="216">
        <v>1849.17869753324</v>
      </c>
      <c r="M60" s="216">
        <v>1.57725578587282</v>
      </c>
      <c r="N60" s="216">
        <v>6.9571496000034788E-2</v>
      </c>
      <c r="O60" s="216">
        <v>1.3661993028772199</v>
      </c>
      <c r="P60" s="216">
        <v>7.6524352782038396E-2</v>
      </c>
      <c r="Q60" s="1001">
        <f t="shared" si="3"/>
        <v>1535.7183155561038</v>
      </c>
      <c r="R60" s="1001">
        <f t="shared" si="4"/>
        <v>4.5860844642773575</v>
      </c>
      <c r="S60" s="1001">
        <f t="shared" si="5"/>
        <v>4.0625675588117159E-2</v>
      </c>
      <c r="T60" s="1001">
        <f t="shared" si="6"/>
        <v>4.865104463366615</v>
      </c>
      <c r="U60" s="1001">
        <f t="shared" si="7"/>
        <v>0</v>
      </c>
      <c r="V60" s="1001">
        <v>4770.0944505092102</v>
      </c>
      <c r="W60" s="1001">
        <v>23867.861598703035</v>
      </c>
      <c r="Z60" s="1001">
        <f t="shared" si="8"/>
        <v>2.9076352138657811</v>
      </c>
    </row>
    <row r="61" spans="1:26" x14ac:dyDescent="0.25">
      <c r="A61" s="43">
        <v>2014</v>
      </c>
      <c r="B61" s="216">
        <v>1388.77377163595</v>
      </c>
      <c r="C61" s="216">
        <v>1.26902955277602</v>
      </c>
      <c r="D61" s="216">
        <v>3.8082368100432792E-2</v>
      </c>
      <c r="E61" s="216">
        <v>1.0388215964907099</v>
      </c>
      <c r="F61" s="216">
        <v>5.87888791313739E-2</v>
      </c>
      <c r="G61" s="216">
        <v>1152.2047371746601</v>
      </c>
      <c r="H61" s="216">
        <v>3.6998639643175899</v>
      </c>
      <c r="I61" s="216">
        <v>2.219125068663199E-2</v>
      </c>
      <c r="J61" s="216">
        <v>3.6998615975589502</v>
      </c>
      <c r="K61" s="216">
        <v>0</v>
      </c>
      <c r="L61" s="216">
        <v>1848.64618709617</v>
      </c>
      <c r="M61" s="216">
        <v>1.57287878046546</v>
      </c>
      <c r="N61" s="216">
        <v>6.9571097206467286E-2</v>
      </c>
      <c r="O61" s="216">
        <v>1.3658286438680101</v>
      </c>
      <c r="P61" s="216">
        <v>7.6435792710869699E-2</v>
      </c>
      <c r="Q61" s="1001">
        <f t="shared" si="3"/>
        <v>1533.74072698893</v>
      </c>
      <c r="R61" s="1001">
        <f t="shared" si="4"/>
        <v>4.5857383757169812</v>
      </c>
      <c r="S61" s="1001">
        <f t="shared" si="5"/>
        <v>4.054027455911316E-2</v>
      </c>
      <c r="T61" s="1001">
        <f t="shared" si="6"/>
        <v>4.8645281974925343</v>
      </c>
      <c r="U61" s="1001">
        <f t="shared" si="7"/>
        <v>0</v>
      </c>
      <c r="V61" s="1001">
        <v>4632.0063168729639</v>
      </c>
      <c r="W61" s="1001">
        <v>23861.381295933479</v>
      </c>
      <c r="Z61" s="1001">
        <f t="shared" si="8"/>
        <v>2.9155065429517268</v>
      </c>
    </row>
    <row r="62" spans="1:26" x14ac:dyDescent="0.25">
      <c r="A62" s="43">
        <v>2015</v>
      </c>
      <c r="B62" s="216">
        <v>1388.1586377236999</v>
      </c>
      <c r="C62" s="216">
        <v>1.1378494214357</v>
      </c>
      <c r="D62" s="216">
        <v>3.5644936453544579E-2</v>
      </c>
      <c r="E62" s="216">
        <v>0.92519465643112997</v>
      </c>
      <c r="F62" s="216">
        <v>5.6066367876477202E-2</v>
      </c>
      <c r="G62" s="216">
        <v>1150.6832655968101</v>
      </c>
      <c r="H62" s="216">
        <v>3.1098032589764202</v>
      </c>
      <c r="I62" s="216">
        <v>2.150161045038039E-2</v>
      </c>
      <c r="J62" s="216">
        <v>3.1098010970459802</v>
      </c>
      <c r="K62" s="216">
        <v>0</v>
      </c>
      <c r="L62" s="216">
        <v>1848.17757270017</v>
      </c>
      <c r="M62" s="216">
        <v>1.5661176697558701</v>
      </c>
      <c r="N62" s="216">
        <v>6.9532905806641704E-2</v>
      </c>
      <c r="O62" s="216">
        <v>1.36297654053815</v>
      </c>
      <c r="P62" s="216">
        <v>7.6289938010306105E-2</v>
      </c>
      <c r="Q62" s="1001">
        <f t="shared" si="3"/>
        <v>1532.0057426899868</v>
      </c>
      <c r="R62" s="1001">
        <f t="shared" si="4"/>
        <v>4.2802832620876661</v>
      </c>
      <c r="S62" s="1001">
        <f t="shared" si="5"/>
        <v>4.194338952142334E-2</v>
      </c>
      <c r="T62" s="1001">
        <f t="shared" si="6"/>
        <v>4.5812909873080176</v>
      </c>
      <c r="U62" s="1001">
        <f t="shared" si="7"/>
        <v>0</v>
      </c>
      <c r="V62" s="1001">
        <v>4425.2695245573004</v>
      </c>
      <c r="W62" s="1001">
        <v>23855.683439779026</v>
      </c>
      <c r="Z62" s="1001">
        <f t="shared" si="8"/>
        <v>2.7330534255161596</v>
      </c>
    </row>
    <row r="63" spans="1:26" x14ac:dyDescent="0.25">
      <c r="A63" s="43">
        <v>2016</v>
      </c>
      <c r="B63" s="216">
        <v>1387.63688868177</v>
      </c>
      <c r="C63" s="216">
        <v>1.13468268121993</v>
      </c>
      <c r="D63" s="216">
        <v>3.5644893392991997E-2</v>
      </c>
      <c r="E63" s="216">
        <v>0.92504789083410399</v>
      </c>
      <c r="F63" s="216">
        <v>5.6017051559051401E-2</v>
      </c>
      <c r="G63" s="216">
        <v>1149.1790669539901</v>
      </c>
      <c r="H63" s="216">
        <v>3.1098019690305798</v>
      </c>
      <c r="I63" s="216">
        <v>2.1462975352155939E-2</v>
      </c>
      <c r="J63" s="216">
        <v>3.10980786368496</v>
      </c>
      <c r="K63" s="216">
        <v>0</v>
      </c>
      <c r="L63" s="216">
        <v>1847.7484063960701</v>
      </c>
      <c r="M63" s="216">
        <v>1.56258316851219</v>
      </c>
      <c r="N63" s="216">
        <v>6.9532726649042337E-2</v>
      </c>
      <c r="O63" s="216">
        <v>1.36266907309496</v>
      </c>
      <c r="P63" s="216">
        <v>7.6218259774438704E-2</v>
      </c>
      <c r="Q63" s="1001">
        <f t="shared" si="3"/>
        <v>1530.2229329209777</v>
      </c>
      <c r="R63" s="1001">
        <f t="shared" si="4"/>
        <v>4.2825402155507044</v>
      </c>
      <c r="S63" s="1001">
        <f t="shared" si="5"/>
        <v>4.186796638112552E-2</v>
      </c>
      <c r="T63" s="1001">
        <f t="shared" si="6"/>
        <v>4.5809941745718454</v>
      </c>
      <c r="U63" s="1001">
        <f t="shared" si="7"/>
        <v>0</v>
      </c>
      <c r="V63" s="1001">
        <v>4165.9360218623578</v>
      </c>
      <c r="W63" s="1001">
        <v>23850.474238661052</v>
      </c>
      <c r="Z63" s="1001">
        <f t="shared" si="8"/>
        <v>2.7406798574621254</v>
      </c>
    </row>
    <row r="64" spans="1:26" x14ac:dyDescent="0.25">
      <c r="A64" s="43">
        <v>2017</v>
      </c>
      <c r="B64" s="216">
        <v>1387.54937523782</v>
      </c>
      <c r="C64" s="216">
        <v>0.98761622270657201</v>
      </c>
      <c r="D64" s="216">
        <v>3.2811628119608957E-2</v>
      </c>
      <c r="E64" s="216">
        <v>0.79724041093809095</v>
      </c>
      <c r="F64" s="216">
        <v>5.6508185081826999E-2</v>
      </c>
      <c r="G64" s="216">
        <v>1148.02374576324</v>
      </c>
      <c r="H64" s="216">
        <v>3.1098016857538</v>
      </c>
      <c r="I64" s="216">
        <v>1.9465616488143562E-2</v>
      </c>
      <c r="J64" s="216">
        <v>3.1098072678467599</v>
      </c>
      <c r="K64" s="216">
        <v>0</v>
      </c>
      <c r="L64" s="216">
        <v>1847.74595604874</v>
      </c>
      <c r="M64" s="216">
        <v>1.1350700536152101</v>
      </c>
      <c r="N64" s="216">
        <v>5.9851554480185115E-2</v>
      </c>
      <c r="O64" s="216">
        <v>0.98603969224321697</v>
      </c>
      <c r="P64" s="216">
        <v>7.0883977996157699E-2</v>
      </c>
      <c r="Q64" s="1001">
        <f t="shared" si="3"/>
        <v>1528.7789188174868</v>
      </c>
      <c r="R64" s="1001">
        <f t="shared" si="4"/>
        <v>3.5741036700548192</v>
      </c>
      <c r="S64" s="1001">
        <f t="shared" si="5"/>
        <v>3.5507150132372003E-2</v>
      </c>
      <c r="T64" s="1001">
        <f t="shared" si="6"/>
        <v>3.8462593707652095</v>
      </c>
      <c r="U64" s="1001">
        <f t="shared" si="7"/>
        <v>0</v>
      </c>
      <c r="V64" s="1001">
        <v>4164.0840849243796</v>
      </c>
      <c r="W64" s="1001">
        <v>23852.669273978237</v>
      </c>
      <c r="Z64" s="1001">
        <f t="shared" si="8"/>
        <v>3.148795670074513</v>
      </c>
    </row>
    <row r="65" spans="1:26" x14ac:dyDescent="0.25">
      <c r="A65" s="43">
        <v>2018</v>
      </c>
      <c r="B65" s="216">
        <v>1387.0399430828099</v>
      </c>
      <c r="C65" s="216">
        <v>0.98456734068807805</v>
      </c>
      <c r="D65" s="216">
        <v>3.281134933045958E-2</v>
      </c>
      <c r="E65" s="216">
        <v>0.79709918868698304</v>
      </c>
      <c r="F65" s="216">
        <v>5.6460805361283298E-2</v>
      </c>
      <c r="G65" s="216">
        <v>1146.5795456093001</v>
      </c>
      <c r="H65" s="216">
        <v>3.1098035434161702</v>
      </c>
      <c r="I65" s="216">
        <v>1.944198964322412E-2</v>
      </c>
      <c r="J65" s="216">
        <v>3.1098046743932199</v>
      </c>
      <c r="K65" s="216">
        <v>0</v>
      </c>
      <c r="L65" s="216">
        <v>1847.41298479791</v>
      </c>
      <c r="M65" s="216">
        <v>1.13229292363708</v>
      </c>
      <c r="N65" s="216">
        <v>5.9851531680368358E-2</v>
      </c>
      <c r="O65" s="216">
        <v>0.98580695276541197</v>
      </c>
      <c r="P65" s="216">
        <v>7.0827689403192506E-2</v>
      </c>
      <c r="Q65" s="1001">
        <f t="shared" si="3"/>
        <v>1527.1412703187352</v>
      </c>
      <c r="R65" s="1001">
        <f t="shared" si="4"/>
        <v>3.5764019387955757</v>
      </c>
      <c r="S65" s="1001">
        <f t="shared" si="5"/>
        <v>3.5464340321432412E-2</v>
      </c>
      <c r="T65" s="1001">
        <f t="shared" si="6"/>
        <v>3.8460295948978649</v>
      </c>
      <c r="U65" s="1001">
        <f t="shared" si="7"/>
        <v>0</v>
      </c>
      <c r="V65" s="1001">
        <v>4161.2998495971779</v>
      </c>
      <c r="W65" s="1001">
        <v>23848.625845291466</v>
      </c>
      <c r="Z65" s="1001">
        <f t="shared" si="8"/>
        <v>3.15854834392825</v>
      </c>
    </row>
    <row r="66" spans="1:26" x14ac:dyDescent="0.25">
      <c r="A66" s="43">
        <v>2019</v>
      </c>
      <c r="B66" s="216">
        <v>1386.5663983254899</v>
      </c>
      <c r="C66" s="216">
        <v>0.98171212777615502</v>
      </c>
      <c r="D66" s="216">
        <v>3.2811160332025843E-2</v>
      </c>
      <c r="E66" s="216">
        <v>0.79696584742836996</v>
      </c>
      <c r="F66" s="216">
        <v>5.6416256787503199E-2</v>
      </c>
      <c r="G66" s="216">
        <v>1145.22622267323</v>
      </c>
      <c r="H66" s="216">
        <v>3.1098025080241101</v>
      </c>
      <c r="I66" s="216">
        <v>1.9419797592320331E-2</v>
      </c>
      <c r="J66" s="216">
        <v>3.1098001418476802</v>
      </c>
      <c r="K66" s="216">
        <v>0</v>
      </c>
      <c r="L66" s="216">
        <v>1847.10910653217</v>
      </c>
      <c r="M66" s="216">
        <v>1.12980013607042</v>
      </c>
      <c r="N66" s="216">
        <v>5.985128274243165E-2</v>
      </c>
      <c r="O66" s="216">
        <v>0.98559245212394497</v>
      </c>
      <c r="P66" s="216">
        <v>7.0777179407493299E-2</v>
      </c>
      <c r="Q66" s="1001">
        <f t="shared" si="3"/>
        <v>1525.6087176883914</v>
      </c>
      <c r="R66" s="1001">
        <f t="shared" si="4"/>
        <v>3.5789058699689336</v>
      </c>
      <c r="S66" s="1001">
        <f t="shared" si="5"/>
        <v>3.5423916275349659E-2</v>
      </c>
      <c r="T66" s="1001">
        <f t="shared" si="6"/>
        <v>3.8458304798243241</v>
      </c>
      <c r="U66" s="1001">
        <f t="shared" si="7"/>
        <v>0</v>
      </c>
      <c r="V66" s="1001">
        <v>4158.8042432750744</v>
      </c>
      <c r="W66" s="1001">
        <v>23844.919468801843</v>
      </c>
      <c r="Z66" s="1001">
        <f t="shared" si="8"/>
        <v>3.167733615625854</v>
      </c>
    </row>
    <row r="67" spans="1:26" x14ac:dyDescent="0.25">
      <c r="A67" s="43">
        <v>2020</v>
      </c>
      <c r="B67" s="216">
        <v>1386.0966752893901</v>
      </c>
      <c r="C67" s="216">
        <v>0.97891588194847301</v>
      </c>
      <c r="D67" s="216">
        <v>3.2810855041907935E-2</v>
      </c>
      <c r="E67" s="216">
        <v>0.79683648009321995</v>
      </c>
      <c r="F67" s="216">
        <v>5.6372874494692901E-2</v>
      </c>
      <c r="G67" s="216">
        <v>1143.9017505930301</v>
      </c>
      <c r="H67" s="216">
        <v>3.1098012860768001</v>
      </c>
      <c r="I67" s="216">
        <v>1.939808623160473E-2</v>
      </c>
      <c r="J67" s="216">
        <v>3.1098018188262002</v>
      </c>
      <c r="K67" s="216">
        <v>0</v>
      </c>
      <c r="L67" s="216">
        <v>1846.8450482061801</v>
      </c>
      <c r="M67" s="216">
        <v>1.1275970597360101</v>
      </c>
      <c r="N67" s="216">
        <v>5.9851356894813357E-2</v>
      </c>
      <c r="O67" s="216">
        <v>0.98540575818199605</v>
      </c>
      <c r="P67" s="216">
        <v>7.0732399123111994E-2</v>
      </c>
      <c r="Q67" s="1001">
        <f t="shared" si="3"/>
        <v>1524.1428115221811</v>
      </c>
      <c r="R67" s="1001">
        <f t="shared" si="4"/>
        <v>3.5821288133192621</v>
      </c>
      <c r="S67" s="1001">
        <f t="shared" si="5"/>
        <v>3.5384685362244928E-2</v>
      </c>
      <c r="T67" s="1001">
        <f t="shared" si="6"/>
        <v>3.8457283214715319</v>
      </c>
      <c r="U67" s="1001">
        <f t="shared" si="7"/>
        <v>0</v>
      </c>
      <c r="V67" s="1001">
        <v>4156.5891148865103</v>
      </c>
      <c r="W67" s="1001">
        <v>23841.715228433815</v>
      </c>
      <c r="Z67" s="1001">
        <f t="shared" si="8"/>
        <v>3.1767809098029223</v>
      </c>
    </row>
  </sheetData>
  <mergeCells count="6">
    <mergeCell ref="V35:W35"/>
    <mergeCell ref="B35:F35"/>
    <mergeCell ref="G35:K35"/>
    <mergeCell ref="H15:H18"/>
    <mergeCell ref="L35:P35"/>
    <mergeCell ref="Q35:U3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E74"/>
  <sheetViews>
    <sheetView showGridLines="0" zoomScale="85" zoomScaleNormal="85" workbookViewId="0">
      <selection activeCell="I18" sqref="I18"/>
    </sheetView>
  </sheetViews>
  <sheetFormatPr defaultRowHeight="15" x14ac:dyDescent="0.25"/>
  <cols>
    <col min="1" max="1" width="2.42578125" style="294" customWidth="1"/>
    <col min="2" max="2" width="2.140625" style="294" customWidth="1"/>
    <col min="3" max="3" width="65.5703125" style="294" customWidth="1"/>
    <col min="4" max="4" width="22.140625" style="294" hidden="1" customWidth="1"/>
    <col min="5" max="5" width="22.140625" style="501" hidden="1" customWidth="1"/>
    <col min="6" max="6" width="22.140625" style="294" customWidth="1"/>
    <col min="7" max="7" width="2.5703125" style="294" customWidth="1"/>
    <col min="8" max="8" width="2.28515625" style="294" customWidth="1"/>
    <col min="9" max="10" width="11.5703125" style="744" bestFit="1" customWidth="1"/>
    <col min="11" max="11" width="11.7109375" style="744" bestFit="1" customWidth="1"/>
    <col min="12" max="12" width="12.42578125" style="744" bestFit="1" customWidth="1"/>
    <col min="13" max="31" width="9.140625" style="744"/>
    <col min="32" max="16384" width="9.140625" style="294"/>
  </cols>
  <sheetData>
    <row r="1" spans="1:31" ht="10.5" customHeight="1" x14ac:dyDescent="0.25">
      <c r="A1" s="580"/>
      <c r="B1" s="580"/>
      <c r="C1" s="580"/>
      <c r="D1" s="580"/>
      <c r="E1" s="580"/>
      <c r="F1" s="580"/>
      <c r="G1" s="580"/>
      <c r="H1" s="580"/>
    </row>
    <row r="2" spans="1:31" ht="9" customHeight="1" x14ac:dyDescent="0.25">
      <c r="A2" s="580"/>
      <c r="B2" s="579"/>
      <c r="C2" s="579"/>
      <c r="D2" s="579"/>
      <c r="E2" s="579"/>
      <c r="F2" s="579"/>
      <c r="G2" s="579"/>
      <c r="H2" s="580"/>
    </row>
    <row r="3" spans="1:31" ht="28.5" x14ac:dyDescent="0.25">
      <c r="A3" s="580"/>
      <c r="B3" s="302"/>
      <c r="C3" s="1199" t="s">
        <v>259</v>
      </c>
      <c r="D3" s="1199"/>
      <c r="E3" s="1199"/>
      <c r="F3" s="1199"/>
      <c r="G3" s="520"/>
      <c r="H3" s="580"/>
      <c r="J3" s="1115"/>
    </row>
    <row r="4" spans="1:31" ht="17.25" customHeight="1" x14ac:dyDescent="0.25">
      <c r="A4" s="580"/>
      <c r="B4" s="302"/>
      <c r="C4"/>
      <c r="D4"/>
      <c r="E4" s="47"/>
      <c r="F4"/>
      <c r="G4" s="520"/>
      <c r="H4" s="580"/>
      <c r="M4" s="1086"/>
      <c r="N4" s="1086"/>
    </row>
    <row r="5" spans="1:31" s="512" customFormat="1" ht="18" customHeight="1" x14ac:dyDescent="0.25">
      <c r="A5" s="580"/>
      <c r="B5" s="303"/>
      <c r="C5" s="1201" t="s">
        <v>703</v>
      </c>
      <c r="D5" s="1201"/>
      <c r="E5" s="1201"/>
      <c r="F5" s="1201"/>
      <c r="G5" s="520"/>
      <c r="H5" s="580"/>
      <c r="I5" s="504"/>
      <c r="J5" s="744"/>
      <c r="K5" s="744"/>
      <c r="L5" s="744"/>
      <c r="M5" s="1086"/>
      <c r="N5" s="1085"/>
      <c r="O5" s="744"/>
      <c r="P5" s="744"/>
      <c r="Q5" s="744"/>
      <c r="R5" s="744"/>
      <c r="S5" s="744"/>
      <c r="T5" s="744"/>
      <c r="U5" s="744"/>
      <c r="V5" s="744"/>
      <c r="W5" s="744"/>
      <c r="X5" s="744"/>
      <c r="Y5" s="744"/>
      <c r="Z5" s="744"/>
      <c r="AA5" s="744"/>
      <c r="AB5" s="744"/>
      <c r="AC5" s="744"/>
      <c r="AD5" s="744"/>
      <c r="AE5" s="744"/>
    </row>
    <row r="6" spans="1:31" s="512" customFormat="1" ht="15.75" x14ac:dyDescent="0.25">
      <c r="A6" s="580"/>
      <c r="B6" s="302"/>
      <c r="C6" s="568" t="s">
        <v>711</v>
      </c>
      <c r="D6" s="567"/>
      <c r="E6" s="566"/>
      <c r="F6" s="568" t="s">
        <v>720</v>
      </c>
      <c r="G6" s="47"/>
      <c r="H6" s="580"/>
      <c r="I6" s="1144"/>
      <c r="J6" s="1134"/>
      <c r="K6" s="1116"/>
      <c r="L6" s="1116"/>
      <c r="M6" s="1086"/>
      <c r="N6" s="1085"/>
      <c r="O6" s="744"/>
      <c r="P6" s="744"/>
      <c r="Q6" s="744"/>
      <c r="R6" s="744"/>
      <c r="S6" s="744"/>
      <c r="T6" s="744"/>
      <c r="U6" s="744"/>
      <c r="V6" s="744"/>
      <c r="W6" s="744"/>
      <c r="X6" s="744"/>
      <c r="Y6" s="744"/>
      <c r="Z6" s="744"/>
      <c r="AA6" s="744"/>
      <c r="AB6" s="744"/>
      <c r="AC6" s="744"/>
      <c r="AD6" s="744"/>
      <c r="AE6" s="744"/>
    </row>
    <row r="7" spans="1:31" s="512" customFormat="1" x14ac:dyDescent="0.25">
      <c r="A7" s="580"/>
      <c r="B7" s="296"/>
      <c r="C7" s="466" t="s">
        <v>136</v>
      </c>
      <c r="D7" s="178">
        <v>2010</v>
      </c>
      <c r="E7" s="178">
        <v>2020</v>
      </c>
      <c r="F7" s="518">
        <v>2011</v>
      </c>
      <c r="G7" s="56"/>
      <c r="H7" s="580"/>
      <c r="I7" s="1144"/>
      <c r="J7" s="744"/>
      <c r="K7" s="1116"/>
      <c r="L7" s="1116"/>
      <c r="M7" s="1086"/>
      <c r="N7" s="1085"/>
      <c r="O7" s="744"/>
      <c r="P7" s="744"/>
      <c r="Q7" s="744"/>
      <c r="R7" s="744"/>
      <c r="S7" s="744"/>
      <c r="T7" s="744"/>
      <c r="U7" s="744"/>
      <c r="V7" s="744"/>
      <c r="W7" s="744"/>
      <c r="X7" s="744"/>
      <c r="Y7" s="744"/>
      <c r="Z7" s="744"/>
      <c r="AA7" s="744"/>
      <c r="AB7" s="744"/>
      <c r="AC7" s="744"/>
      <c r="AD7" s="744"/>
      <c r="AE7" s="744"/>
    </row>
    <row r="8" spans="1:31" s="512" customFormat="1" ht="15.75" thickBot="1" x14ac:dyDescent="0.3">
      <c r="A8" s="580"/>
      <c r="B8" s="296"/>
      <c r="C8" s="494" t="s">
        <v>27</v>
      </c>
      <c r="D8" s="486" t="s">
        <v>30</v>
      </c>
      <c r="E8" s="486" t="s">
        <v>30</v>
      </c>
      <c r="F8" s="555" t="s">
        <v>30</v>
      </c>
      <c r="G8" s="56"/>
      <c r="H8" s="580"/>
      <c r="I8" s="744"/>
      <c r="J8" s="744"/>
      <c r="K8" s="1116"/>
      <c r="L8" s="1116"/>
      <c r="M8" s="1086"/>
      <c r="N8" s="1085"/>
      <c r="O8" s="744"/>
      <c r="P8" s="744"/>
      <c r="Q8" s="744"/>
      <c r="R8" s="744"/>
      <c r="S8" s="744"/>
      <c r="T8" s="744"/>
      <c r="U8" s="744"/>
      <c r="V8" s="744"/>
      <c r="W8" s="744"/>
      <c r="X8" s="744"/>
      <c r="Y8" s="744"/>
      <c r="Z8" s="744"/>
      <c r="AA8" s="744"/>
      <c r="AB8" s="744"/>
      <c r="AC8" s="744"/>
      <c r="AD8" s="744"/>
      <c r="AE8" s="744"/>
    </row>
    <row r="9" spans="1:31" s="512" customFormat="1" x14ac:dyDescent="0.25">
      <c r="A9" s="580"/>
      <c r="B9" s="296"/>
      <c r="C9" s="471" t="s">
        <v>128</v>
      </c>
      <c r="D9" s="505" t="s">
        <v>229</v>
      </c>
      <c r="E9" s="505" t="s">
        <v>229</v>
      </c>
      <c r="F9" s="559" t="s">
        <v>232</v>
      </c>
      <c r="G9" s="56"/>
      <c r="H9" s="580"/>
      <c r="I9" s="744"/>
      <c r="J9" s="744"/>
      <c r="K9" s="1116"/>
      <c r="L9" s="1116"/>
      <c r="M9" s="1086"/>
      <c r="N9" s="1085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</row>
    <row r="10" spans="1:31" s="512" customFormat="1" ht="15.75" thickBot="1" x14ac:dyDescent="0.3">
      <c r="A10" s="580"/>
      <c r="B10" s="28"/>
      <c r="C10" s="494" t="s">
        <v>129</v>
      </c>
      <c r="D10" s="486">
        <v>2</v>
      </c>
      <c r="E10" s="486">
        <v>2</v>
      </c>
      <c r="F10" s="555">
        <v>2</v>
      </c>
      <c r="G10" s="56"/>
      <c r="H10" s="580"/>
      <c r="I10" s="744"/>
      <c r="J10" s="744"/>
      <c r="K10" s="1116"/>
      <c r="L10" s="1116"/>
      <c r="M10" s="1086"/>
      <c r="N10" s="1085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</row>
    <row r="11" spans="1:31" s="512" customFormat="1" x14ac:dyDescent="0.25">
      <c r="A11" s="580"/>
      <c r="B11" s="28"/>
      <c r="C11" s="444" t="s">
        <v>130</v>
      </c>
      <c r="D11" s="505" t="s">
        <v>232</v>
      </c>
      <c r="E11" s="505" t="s">
        <v>232</v>
      </c>
      <c r="F11" s="559" t="s">
        <v>232</v>
      </c>
      <c r="G11" s="56"/>
      <c r="H11" s="580"/>
      <c r="I11" s="744"/>
      <c r="J11" s="744"/>
      <c r="K11" s="1116"/>
      <c r="L11" s="1116"/>
      <c r="M11" s="1086"/>
      <c r="N11" s="1085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</row>
    <row r="12" spans="1:31" s="512" customFormat="1" ht="15.75" thickBot="1" x14ac:dyDescent="0.3">
      <c r="A12" s="580"/>
      <c r="B12" s="28"/>
      <c r="C12" s="494" t="s">
        <v>131</v>
      </c>
      <c r="D12" s="486">
        <v>1</v>
      </c>
      <c r="E12" s="486">
        <v>1</v>
      </c>
      <c r="F12" s="555">
        <v>1</v>
      </c>
      <c r="G12" s="65"/>
      <c r="H12" s="580"/>
      <c r="I12" s="744"/>
      <c r="J12" s="744"/>
      <c r="K12" s="1116"/>
      <c r="L12" s="1116"/>
      <c r="M12" s="1086"/>
      <c r="N12" s="744"/>
      <c r="O12" s="744"/>
      <c r="P12" s="744"/>
      <c r="Q12" s="744"/>
      <c r="R12" s="744"/>
      <c r="S12" s="744"/>
      <c r="T12" s="744"/>
      <c r="U12" s="744"/>
      <c r="V12" s="744"/>
      <c r="W12" s="744"/>
      <c r="X12" s="744"/>
      <c r="Y12" s="744"/>
      <c r="Z12" s="744"/>
      <c r="AA12" s="744"/>
      <c r="AB12" s="744"/>
      <c r="AC12" s="744"/>
      <c r="AD12" s="744"/>
      <c r="AE12" s="744"/>
    </row>
    <row r="13" spans="1:31" s="512" customFormat="1" x14ac:dyDescent="0.25">
      <c r="A13" s="580"/>
      <c r="B13" s="296"/>
      <c r="C13" s="359" t="s">
        <v>75</v>
      </c>
      <c r="D13" s="85">
        <f>812+784</f>
        <v>1596</v>
      </c>
      <c r="E13" s="85">
        <v>1596</v>
      </c>
      <c r="F13" s="498">
        <v>1596</v>
      </c>
      <c r="G13" s="65"/>
      <c r="H13" s="580"/>
      <c r="I13" s="744"/>
      <c r="J13" s="744"/>
      <c r="K13" s="1116"/>
      <c r="L13" s="1116"/>
      <c r="M13" s="1086"/>
      <c r="N13" s="744"/>
      <c r="O13" s="744"/>
      <c r="P13" s="744"/>
      <c r="Q13" s="744"/>
      <c r="R13" s="744"/>
      <c r="S13" s="744"/>
      <c r="T13" s="744"/>
      <c r="U13" s="744"/>
      <c r="V13" s="744"/>
      <c r="W13" s="744"/>
      <c r="X13" s="744"/>
      <c r="Y13" s="744"/>
      <c r="Z13" s="744"/>
      <c r="AA13" s="744"/>
      <c r="AB13" s="744"/>
      <c r="AC13" s="744"/>
      <c r="AD13" s="744"/>
      <c r="AE13" s="744"/>
    </row>
    <row r="14" spans="1:31" s="512" customFormat="1" x14ac:dyDescent="0.25">
      <c r="A14" s="580"/>
      <c r="B14" s="296"/>
      <c r="C14" s="359" t="s">
        <v>76</v>
      </c>
      <c r="D14" s="36">
        <v>654</v>
      </c>
      <c r="E14" s="36">
        <v>654</v>
      </c>
      <c r="F14" s="564">
        <v>654</v>
      </c>
      <c r="G14" s="186"/>
      <c r="H14" s="580"/>
      <c r="I14" s="744"/>
      <c r="J14" s="744"/>
      <c r="K14" s="1116"/>
      <c r="L14" s="1116"/>
      <c r="M14" s="1086"/>
      <c r="N14" s="744"/>
      <c r="O14" s="744"/>
      <c r="P14" s="744"/>
      <c r="Q14" s="744"/>
      <c r="R14" s="744"/>
      <c r="S14" s="744"/>
      <c r="T14" s="744"/>
      <c r="U14" s="744"/>
      <c r="V14" s="744"/>
      <c r="W14" s="744"/>
      <c r="X14" s="744"/>
      <c r="Y14" s="744"/>
      <c r="Z14" s="744"/>
      <c r="AA14" s="744"/>
      <c r="AB14" s="744"/>
      <c r="AC14" s="744"/>
      <c r="AD14" s="744"/>
      <c r="AE14" s="744"/>
    </row>
    <row r="15" spans="1:31" s="512" customFormat="1" x14ac:dyDescent="0.25">
      <c r="A15" s="580"/>
      <c r="B15" s="296"/>
      <c r="C15" s="348" t="s">
        <v>34</v>
      </c>
      <c r="D15" s="37">
        <v>0.05</v>
      </c>
      <c r="E15" s="37">
        <v>0.05</v>
      </c>
      <c r="F15" s="534">
        <v>0.05</v>
      </c>
      <c r="G15" s="65"/>
      <c r="H15" s="580"/>
      <c r="I15" s="744"/>
      <c r="J15" s="744"/>
      <c r="K15" s="1116"/>
      <c r="L15" s="1116"/>
      <c r="M15" s="1086"/>
      <c r="N15" s="744"/>
      <c r="O15" s="744"/>
      <c r="P15" s="744"/>
      <c r="Q15" s="744"/>
      <c r="R15" s="744"/>
      <c r="S15" s="744"/>
      <c r="T15" s="744"/>
      <c r="U15" s="744"/>
      <c r="V15" s="744"/>
      <c r="W15" s="744"/>
      <c r="X15" s="744"/>
      <c r="Y15" s="744"/>
      <c r="Z15" s="744"/>
      <c r="AA15" s="744"/>
      <c r="AB15" s="744"/>
      <c r="AC15" s="744"/>
      <c r="AD15" s="744"/>
      <c r="AE15" s="744"/>
    </row>
    <row r="16" spans="1:31" s="512" customFormat="1" x14ac:dyDescent="0.25">
      <c r="A16" s="580"/>
      <c r="B16" s="296"/>
      <c r="C16" s="348" t="s">
        <v>35</v>
      </c>
      <c r="D16" s="37">
        <v>7.0000000000000007E-2</v>
      </c>
      <c r="E16" s="37">
        <v>7.0000000000000007E-2</v>
      </c>
      <c r="F16" s="534">
        <v>7.0000000000000007E-2</v>
      </c>
      <c r="G16" s="65"/>
      <c r="H16" s="580"/>
      <c r="I16" s="744"/>
      <c r="J16" s="744"/>
      <c r="K16" s="1116"/>
      <c r="L16" s="1116"/>
      <c r="M16" s="1086"/>
      <c r="N16" s="744"/>
      <c r="O16" s="744"/>
      <c r="P16" s="744"/>
      <c r="Q16" s="744"/>
      <c r="R16" s="744"/>
      <c r="S16" s="744"/>
      <c r="T16" s="744"/>
      <c r="U16" s="744"/>
      <c r="V16" s="744"/>
      <c r="W16" s="744"/>
      <c r="X16" s="744"/>
      <c r="Y16" s="744"/>
      <c r="Z16" s="744"/>
      <c r="AA16" s="744"/>
      <c r="AB16" s="744"/>
      <c r="AC16" s="744"/>
      <c r="AD16" s="744"/>
      <c r="AE16" s="744"/>
    </row>
    <row r="17" spans="1:31" s="512" customFormat="1" x14ac:dyDescent="0.25">
      <c r="A17" s="580"/>
      <c r="B17" s="296"/>
      <c r="C17" s="467" t="s">
        <v>127</v>
      </c>
      <c r="D17" s="68">
        <v>100</v>
      </c>
      <c r="E17" s="68">
        <v>100</v>
      </c>
      <c r="F17" s="529">
        <v>100</v>
      </c>
      <c r="G17" s="65"/>
      <c r="H17" s="580"/>
      <c r="I17" s="744" t="s">
        <v>997</v>
      </c>
      <c r="J17" s="744"/>
      <c r="K17" s="1116"/>
      <c r="L17" s="1116"/>
      <c r="M17" s="1086"/>
      <c r="N17" s="744"/>
      <c r="O17" s="744"/>
      <c r="P17" s="744"/>
      <c r="Q17" s="744"/>
      <c r="R17" s="744"/>
      <c r="S17" s="744"/>
      <c r="T17" s="744"/>
      <c r="U17" s="744"/>
      <c r="V17" s="744"/>
      <c r="W17" s="744"/>
      <c r="X17" s="744"/>
      <c r="Y17" s="744"/>
      <c r="Z17" s="744"/>
      <c r="AA17" s="744"/>
      <c r="AB17" s="744"/>
      <c r="AC17" s="744"/>
      <c r="AD17" s="744"/>
      <c r="AE17" s="744"/>
    </row>
    <row r="18" spans="1:31" s="512" customFormat="1" x14ac:dyDescent="0.25">
      <c r="A18" s="580"/>
      <c r="B18" s="296"/>
      <c r="C18" s="348" t="s">
        <v>50</v>
      </c>
      <c r="D18" s="68">
        <v>50</v>
      </c>
      <c r="E18" s="68">
        <v>50</v>
      </c>
      <c r="F18" s="529">
        <v>50</v>
      </c>
      <c r="G18" s="56"/>
      <c r="H18" s="580"/>
      <c r="I18" s="744" t="s">
        <v>997</v>
      </c>
      <c r="J18" s="744"/>
      <c r="K18" s="744"/>
      <c r="L18" s="744"/>
      <c r="M18" s="1086"/>
      <c r="N18" s="744"/>
      <c r="O18" s="744"/>
      <c r="P18" s="744"/>
      <c r="Q18" s="744"/>
      <c r="R18" s="744"/>
      <c r="S18" s="744"/>
      <c r="T18" s="744"/>
      <c r="U18" s="744"/>
      <c r="V18" s="744"/>
      <c r="W18" s="744"/>
      <c r="X18" s="744"/>
      <c r="Y18" s="744"/>
      <c r="Z18" s="744"/>
      <c r="AA18" s="744"/>
      <c r="AB18" s="744"/>
      <c r="AC18" s="744"/>
      <c r="AD18" s="744"/>
      <c r="AE18" s="744"/>
    </row>
    <row r="19" spans="1:31" s="512" customFormat="1" x14ac:dyDescent="0.25">
      <c r="A19" s="580"/>
      <c r="B19" s="304"/>
      <c r="C19" s="189"/>
      <c r="D19" s="465"/>
      <c r="E19" s="465"/>
      <c r="F19" s="465"/>
      <c r="G19" s="523"/>
      <c r="H19" s="580"/>
      <c r="I19" s="1144"/>
      <c r="J19" s="744"/>
      <c r="K19" s="1116"/>
      <c r="L19" s="1116"/>
      <c r="M19" s="1086"/>
      <c r="N19" s="1086"/>
      <c r="O19" s="744"/>
      <c r="P19" s="744"/>
      <c r="Q19" s="744"/>
      <c r="R19" s="744"/>
      <c r="S19" s="744"/>
      <c r="T19" s="744"/>
      <c r="U19" s="744"/>
      <c r="V19" s="744"/>
      <c r="W19" s="744"/>
      <c r="X19" s="744"/>
      <c r="Y19" s="744"/>
      <c r="Z19" s="744"/>
      <c r="AA19" s="744"/>
      <c r="AB19" s="744"/>
      <c r="AC19" s="744"/>
      <c r="AD19" s="744"/>
      <c r="AE19" s="744"/>
    </row>
    <row r="20" spans="1:31" s="512" customFormat="1" ht="15.75" x14ac:dyDescent="0.25">
      <c r="A20" s="580"/>
      <c r="B20" s="304"/>
      <c r="C20" s="1200" t="s">
        <v>702</v>
      </c>
      <c r="D20" s="1200"/>
      <c r="E20" s="1200"/>
      <c r="F20" s="1200"/>
      <c r="G20" s="523"/>
      <c r="H20" s="580"/>
      <c r="I20" s="744"/>
      <c r="J20" s="744"/>
      <c r="K20" s="1116"/>
      <c r="L20" s="1116"/>
      <c r="M20" s="1086"/>
      <c r="N20" s="1085"/>
      <c r="O20" s="744"/>
      <c r="P20" s="744"/>
      <c r="Q20" s="744"/>
      <c r="R20" s="744"/>
      <c r="S20" s="744"/>
      <c r="T20" s="744"/>
      <c r="U20" s="744"/>
      <c r="V20" s="744"/>
      <c r="W20" s="744"/>
      <c r="X20" s="744"/>
      <c r="Y20" s="744"/>
      <c r="Z20" s="744"/>
      <c r="AA20" s="744"/>
      <c r="AB20" s="744"/>
      <c r="AC20" s="744"/>
      <c r="AD20" s="744"/>
      <c r="AE20" s="744"/>
    </row>
    <row r="21" spans="1:31" s="512" customFormat="1" x14ac:dyDescent="0.25">
      <c r="A21" s="580"/>
      <c r="B21" s="296"/>
      <c r="C21" s="569" t="s">
        <v>1</v>
      </c>
      <c r="D21" s="26"/>
      <c r="E21" s="26"/>
      <c r="F21" s="26"/>
      <c r="G21" s="79"/>
      <c r="H21" s="580"/>
      <c r="I21" s="1144"/>
      <c r="J21" s="744"/>
      <c r="K21" s="1116"/>
      <c r="L21" s="1116"/>
      <c r="M21" s="1086"/>
      <c r="N21" s="1085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  <c r="AB21" s="744"/>
      <c r="AC21" s="744"/>
      <c r="AD21" s="744"/>
      <c r="AE21" s="744"/>
    </row>
    <row r="22" spans="1:31" s="512" customFormat="1" x14ac:dyDescent="0.25">
      <c r="A22" s="580"/>
      <c r="B22" s="296"/>
      <c r="C22" s="379" t="s">
        <v>69</v>
      </c>
      <c r="D22" s="20">
        <v>10</v>
      </c>
      <c r="E22" s="20">
        <v>10</v>
      </c>
      <c r="F22" s="938">
        <v>10</v>
      </c>
      <c r="G22" s="56"/>
      <c r="H22" s="580"/>
      <c r="I22" s="477"/>
      <c r="J22" s="744"/>
      <c r="K22" s="1116"/>
      <c r="L22" s="1116"/>
      <c r="M22" s="1086"/>
      <c r="N22" s="1085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44"/>
      <c r="AD22" s="744"/>
      <c r="AE22" s="744"/>
    </row>
    <row r="23" spans="1:31" s="512" customFormat="1" x14ac:dyDescent="0.25">
      <c r="A23" s="580"/>
      <c r="B23" s="296"/>
      <c r="C23" s="379" t="s">
        <v>71</v>
      </c>
      <c r="D23" s="20">
        <v>250</v>
      </c>
      <c r="E23" s="20">
        <v>250</v>
      </c>
      <c r="F23" s="938">
        <v>250</v>
      </c>
      <c r="G23" s="56"/>
      <c r="H23" s="580"/>
      <c r="I23" s="744"/>
      <c r="J23" s="744"/>
      <c r="K23" s="1116"/>
      <c r="L23" s="1116"/>
      <c r="M23" s="1086"/>
      <c r="N23" s="1085"/>
      <c r="O23" s="744"/>
      <c r="P23" s="744"/>
      <c r="Q23" s="744"/>
      <c r="R23" s="744"/>
      <c r="S23" s="744"/>
      <c r="T23" s="744"/>
      <c r="U23" s="744"/>
      <c r="V23" s="744"/>
      <c r="W23" s="744"/>
      <c r="X23" s="744"/>
      <c r="Y23" s="744"/>
      <c r="Z23" s="744"/>
      <c r="AA23" s="744"/>
      <c r="AB23" s="744"/>
      <c r="AC23" s="744"/>
      <c r="AD23" s="744"/>
      <c r="AE23" s="744"/>
    </row>
    <row r="24" spans="1:31" s="512" customFormat="1" x14ac:dyDescent="0.25">
      <c r="A24" s="580"/>
      <c r="B24" s="296"/>
      <c r="C24" s="379" t="s">
        <v>85</v>
      </c>
      <c r="D24" s="20">
        <v>0.5</v>
      </c>
      <c r="E24" s="20">
        <v>0.5</v>
      </c>
      <c r="F24" s="938">
        <v>0.5</v>
      </c>
      <c r="G24" s="56"/>
      <c r="H24" s="580"/>
      <c r="I24" s="744"/>
      <c r="J24" s="744"/>
      <c r="K24" s="744"/>
      <c r="L24" s="744"/>
      <c r="M24" s="1086"/>
      <c r="N24" s="1085"/>
      <c r="O24" s="1116"/>
      <c r="P24" s="744"/>
      <c r="Q24" s="744"/>
      <c r="R24" s="744"/>
      <c r="S24" s="744"/>
      <c r="T24" s="744"/>
      <c r="U24" s="744"/>
      <c r="V24" s="744"/>
      <c r="W24" s="744"/>
      <c r="X24" s="744"/>
      <c r="Y24" s="744"/>
      <c r="Z24" s="744"/>
      <c r="AA24" s="744"/>
      <c r="AB24" s="744"/>
      <c r="AC24" s="744"/>
      <c r="AD24" s="744"/>
      <c r="AE24" s="744"/>
    </row>
    <row r="25" spans="1:31" s="512" customFormat="1" x14ac:dyDescent="0.25">
      <c r="A25" s="580"/>
      <c r="B25" s="296"/>
      <c r="C25" s="569" t="s">
        <v>719</v>
      </c>
      <c r="D25" s="489"/>
      <c r="E25" s="489"/>
      <c r="F25" s="570">
        <f>F7</f>
        <v>2011</v>
      </c>
      <c r="G25" s="56"/>
      <c r="H25" s="580"/>
      <c r="I25" s="744"/>
      <c r="J25" s="1117"/>
      <c r="K25" s="744"/>
      <c r="L25" s="744"/>
      <c r="M25" s="1116"/>
      <c r="N25" s="744"/>
      <c r="O25" s="1116"/>
      <c r="P25" s="744"/>
      <c r="Q25" s="744"/>
      <c r="R25" s="744"/>
      <c r="S25" s="744"/>
      <c r="T25" s="744"/>
      <c r="U25" s="744"/>
      <c r="V25" s="744"/>
      <c r="W25" s="744"/>
      <c r="X25" s="744"/>
      <c r="Y25" s="744"/>
      <c r="Z25" s="744"/>
      <c r="AA25" s="744"/>
      <c r="AB25" s="744"/>
      <c r="AC25" s="744"/>
      <c r="AD25" s="744"/>
      <c r="AE25" s="744"/>
    </row>
    <row r="26" spans="1:31" s="512" customFormat="1" x14ac:dyDescent="0.25">
      <c r="A26" s="580"/>
      <c r="B26" s="296"/>
      <c r="C26" s="362" t="s">
        <v>413</v>
      </c>
      <c r="D26" s="14">
        <f>'2010ER'!AB4</f>
        <v>3750.9003016633078</v>
      </c>
      <c r="E26" s="14">
        <f>'2020ER'!AB4</f>
        <v>3291.8135998721814</v>
      </c>
      <c r="F26" s="788">
        <f>TREND(D26:E26,$D$7:$E$7,$F$7)</f>
        <v>3704.9916314841976</v>
      </c>
      <c r="G26" s="70"/>
      <c r="H26" s="580"/>
      <c r="I26" s="744"/>
      <c r="J26" s="744"/>
      <c r="K26" s="744"/>
      <c r="L26" s="744"/>
      <c r="M26" s="744"/>
      <c r="N26" s="744"/>
      <c r="O26" s="1116"/>
      <c r="P26" s="744"/>
      <c r="Q26" s="744"/>
      <c r="R26" s="744"/>
      <c r="S26" s="744"/>
      <c r="T26" s="744"/>
      <c r="U26" s="744"/>
      <c r="V26" s="744"/>
      <c r="W26" s="744"/>
      <c r="X26" s="744"/>
      <c r="Y26" s="744"/>
      <c r="Z26" s="744"/>
      <c r="AA26" s="744"/>
      <c r="AB26" s="744"/>
      <c r="AC26" s="744"/>
      <c r="AD26" s="744"/>
      <c r="AE26" s="744"/>
    </row>
    <row r="27" spans="1:31" s="512" customFormat="1" x14ac:dyDescent="0.25">
      <c r="A27" s="580"/>
      <c r="B27" s="296"/>
      <c r="C27" s="362" t="s">
        <v>417</v>
      </c>
      <c r="D27" s="14">
        <f>'2010ER'!AB5</f>
        <v>2.9522376685274958</v>
      </c>
      <c r="E27" s="14">
        <f>'2020ER'!AB5</f>
        <v>0.93910805035104805</v>
      </c>
      <c r="F27" s="788">
        <f t="shared" ref="F27:F35" si="0">TREND(D27:E27,$D$7:$E$7,$F$7)</f>
        <v>2.7509247067098954</v>
      </c>
      <c r="G27" s="70"/>
      <c r="H27" s="580"/>
      <c r="I27" s="744"/>
      <c r="J27" s="744"/>
      <c r="K27" s="1116"/>
      <c r="L27" s="1116"/>
      <c r="M27" s="744"/>
      <c r="N27" s="744"/>
      <c r="O27" s="744"/>
      <c r="P27" s="744"/>
      <c r="Q27" s="744"/>
      <c r="R27" s="744"/>
      <c r="S27" s="744"/>
      <c r="T27" s="744"/>
      <c r="U27" s="744"/>
      <c r="V27" s="744"/>
      <c r="W27" s="744"/>
      <c r="X27" s="744"/>
      <c r="Y27" s="744"/>
      <c r="Z27" s="744"/>
      <c r="AA27" s="744"/>
      <c r="AB27" s="744"/>
      <c r="AC27" s="744"/>
      <c r="AD27" s="744"/>
      <c r="AE27" s="744"/>
    </row>
    <row r="28" spans="1:31" x14ac:dyDescent="0.25">
      <c r="A28" s="580"/>
      <c r="B28" s="296"/>
      <c r="C28" s="362" t="s">
        <v>416</v>
      </c>
      <c r="D28" s="14">
        <f>'2010ER'!AB6</f>
        <v>0.19839204428158921</v>
      </c>
      <c r="E28" s="14">
        <f>'2020ER'!AB6</f>
        <v>8.6560978266842434E-2</v>
      </c>
      <c r="F28" s="788">
        <f t="shared" si="0"/>
        <v>0.18720893768011138</v>
      </c>
      <c r="G28" s="56"/>
      <c r="H28" s="580"/>
    </row>
    <row r="29" spans="1:31" x14ac:dyDescent="0.25">
      <c r="A29" s="580"/>
      <c r="B29" s="296"/>
      <c r="C29" s="362" t="s">
        <v>415</v>
      </c>
      <c r="D29" s="14">
        <f>'2010ER'!AB7</f>
        <v>5.755505625407392</v>
      </c>
      <c r="E29" s="14">
        <f>'2020ER'!AB7</f>
        <v>2.5860206751293329</v>
      </c>
      <c r="F29" s="788">
        <f t="shared" si="0"/>
        <v>5.4385571303795359</v>
      </c>
      <c r="G29" s="56"/>
      <c r="H29" s="580"/>
      <c r="I29" s="1086"/>
    </row>
    <row r="30" spans="1:31" x14ac:dyDescent="0.25">
      <c r="A30" s="580"/>
      <c r="B30" s="296"/>
      <c r="C30" s="362" t="s">
        <v>414</v>
      </c>
      <c r="D30" s="14">
        <f>'2010ER'!AB8</f>
        <v>2.7543105969503339</v>
      </c>
      <c r="E30" s="14">
        <f>'2020ER'!AB8</f>
        <v>0.61583922156998427</v>
      </c>
      <c r="F30" s="788">
        <f t="shared" si="0"/>
        <v>2.5404634594122513</v>
      </c>
      <c r="G30" s="56"/>
      <c r="H30" s="580"/>
      <c r="I30" s="1086"/>
      <c r="M30" s="1118"/>
      <c r="N30" s="1119"/>
      <c r="P30" s="1118"/>
      <c r="Q30" s="1119"/>
    </row>
    <row r="31" spans="1:31" x14ac:dyDescent="0.25">
      <c r="A31" s="580"/>
      <c r="B31" s="302"/>
      <c r="C31" s="363" t="s">
        <v>418</v>
      </c>
      <c r="D31" s="207">
        <f>'2010ER'!AL4</f>
        <v>7722.351052989884</v>
      </c>
      <c r="E31" s="207">
        <f>'2020ER'!AL4</f>
        <v>7715.1016680449866</v>
      </c>
      <c r="F31" s="788">
        <f t="shared" si="0"/>
        <v>7721.6261144953942</v>
      </c>
      <c r="G31" s="56"/>
      <c r="H31" s="580"/>
      <c r="I31" s="923"/>
      <c r="M31" s="1118"/>
      <c r="N31" s="1119"/>
      <c r="P31" s="1118"/>
      <c r="Q31" s="1119"/>
    </row>
    <row r="32" spans="1:31" s="492" customFormat="1" x14ac:dyDescent="0.25">
      <c r="A32" s="580"/>
      <c r="B32" s="302"/>
      <c r="C32" s="363" t="s">
        <v>422</v>
      </c>
      <c r="D32" s="207">
        <f>'2010ER'!AL5</f>
        <v>71.266992895654184</v>
      </c>
      <c r="E32" s="207">
        <f>'2020ER'!AL5</f>
        <v>28.755957883996196</v>
      </c>
      <c r="F32" s="788">
        <f t="shared" si="0"/>
        <v>67.015889394489932</v>
      </c>
      <c r="G32" s="56"/>
      <c r="H32" s="580"/>
      <c r="I32" s="923"/>
      <c r="J32" s="923"/>
      <c r="K32" s="923"/>
      <c r="L32" s="1120"/>
      <c r="M32" s="1118"/>
      <c r="N32" s="1119"/>
      <c r="O32" s="923"/>
      <c r="P32" s="1118"/>
      <c r="Q32" s="1119"/>
      <c r="R32" s="923"/>
      <c r="S32" s="923"/>
      <c r="T32" s="923"/>
      <c r="U32" s="923"/>
      <c r="V32" s="923"/>
      <c r="W32" s="923"/>
      <c r="X32" s="923"/>
      <c r="Y32" s="923"/>
      <c r="Z32" s="923"/>
      <c r="AA32" s="923"/>
      <c r="AB32" s="923"/>
      <c r="AC32" s="923"/>
      <c r="AD32" s="923"/>
      <c r="AE32" s="923"/>
    </row>
    <row r="33" spans="1:31" x14ac:dyDescent="0.25">
      <c r="A33" s="580"/>
      <c r="B33" s="302"/>
      <c r="C33" s="363" t="s">
        <v>421</v>
      </c>
      <c r="D33" s="207">
        <f>'2010ER'!AL6</f>
        <v>4.0096486656834633</v>
      </c>
      <c r="E33" s="207">
        <f>'2020ER'!AL6</f>
        <v>1.7179219731119526</v>
      </c>
      <c r="F33" s="788">
        <f t="shared" si="0"/>
        <v>3.7804759964263326</v>
      </c>
      <c r="G33" s="56"/>
      <c r="H33" s="580"/>
      <c r="I33" s="1124"/>
      <c r="M33" s="1086"/>
      <c r="N33" s="1086"/>
    </row>
    <row r="34" spans="1:31" s="328" customFormat="1" x14ac:dyDescent="0.25">
      <c r="A34" s="580"/>
      <c r="B34" s="302"/>
      <c r="C34" s="363" t="s">
        <v>420</v>
      </c>
      <c r="D34" s="207">
        <f>'2010ER'!AL7</f>
        <v>62.401660342818353</v>
      </c>
      <c r="E34" s="207">
        <f>'2020ER'!AL7</f>
        <v>26.2668373090216</v>
      </c>
      <c r="F34" s="788">
        <f t="shared" si="0"/>
        <v>58.788178039438208</v>
      </c>
      <c r="G34" s="56"/>
      <c r="H34" s="580"/>
      <c r="I34" s="1124"/>
      <c r="J34" s="1086"/>
      <c r="K34" s="1086"/>
      <c r="L34" s="1086"/>
      <c r="M34" s="1086"/>
      <c r="N34" s="1086"/>
      <c r="O34" s="1086"/>
      <c r="P34" s="1086"/>
      <c r="Q34" s="1086"/>
      <c r="R34" s="1086"/>
      <c r="S34" s="1086"/>
      <c r="T34" s="1086"/>
      <c r="U34" s="1086"/>
      <c r="V34" s="1086"/>
      <c r="W34" s="1086"/>
      <c r="X34" s="1086"/>
      <c r="Y34" s="1086"/>
      <c r="Z34" s="1086"/>
      <c r="AA34" s="1086"/>
      <c r="AB34" s="1086"/>
      <c r="AC34" s="1086"/>
      <c r="AD34" s="1086"/>
      <c r="AE34" s="1086"/>
    </row>
    <row r="35" spans="1:31" s="328" customFormat="1" x14ac:dyDescent="0.25">
      <c r="A35" s="580"/>
      <c r="B35" s="71"/>
      <c r="C35" s="363" t="s">
        <v>419</v>
      </c>
      <c r="D35" s="207">
        <f>'2010ER'!AL8</f>
        <v>12.077454219452086</v>
      </c>
      <c r="E35" s="207">
        <f>'2020ER'!AL8</f>
        <v>4.984839851937636</v>
      </c>
      <c r="F35" s="788">
        <f t="shared" si="0"/>
        <v>11.368192782700589</v>
      </c>
      <c r="G35" s="56"/>
      <c r="H35" s="580"/>
      <c r="I35" s="1124"/>
      <c r="J35" s="1086"/>
      <c r="K35" s="1086"/>
      <c r="L35" s="1086"/>
      <c r="M35" s="744"/>
      <c r="N35" s="744"/>
      <c r="O35" s="1086"/>
      <c r="P35" s="1086"/>
      <c r="Q35" s="1086"/>
      <c r="R35" s="1086"/>
      <c r="S35" s="1086"/>
      <c r="T35" s="1086"/>
      <c r="U35" s="1086"/>
      <c r="V35" s="1086"/>
      <c r="W35" s="1086"/>
      <c r="X35" s="1086"/>
      <c r="Y35" s="1086"/>
      <c r="Z35" s="1086"/>
      <c r="AA35" s="1086"/>
      <c r="AB35" s="1086"/>
      <c r="AC35" s="1086"/>
      <c r="AD35" s="1086"/>
      <c r="AE35" s="1086"/>
    </row>
    <row r="36" spans="1:31" s="328" customFormat="1" x14ac:dyDescent="0.25">
      <c r="A36" s="580"/>
      <c r="B36" s="302"/>
      <c r="C36" s="391"/>
      <c r="D36" s="26"/>
      <c r="E36" s="26"/>
      <c r="F36" s="26"/>
      <c r="G36" s="188"/>
      <c r="H36" s="580"/>
      <c r="I36" s="1124"/>
      <c r="J36" s="1086"/>
      <c r="K36" s="1086"/>
      <c r="L36" s="1086"/>
      <c r="M36" s="744"/>
      <c r="N36" s="744"/>
      <c r="O36" s="1086"/>
      <c r="P36" s="1086"/>
      <c r="Q36" s="1086"/>
      <c r="R36" s="1086"/>
      <c r="S36" s="1086"/>
      <c r="T36" s="1086"/>
      <c r="U36" s="1086"/>
      <c r="V36" s="1086"/>
      <c r="W36" s="1086"/>
      <c r="X36" s="1086"/>
      <c r="Y36" s="1086"/>
      <c r="Z36" s="1086"/>
      <c r="AA36" s="1086"/>
      <c r="AB36" s="1086"/>
      <c r="AC36" s="1086"/>
      <c r="AD36" s="1086"/>
      <c r="AE36" s="1086"/>
    </row>
    <row r="37" spans="1:31" ht="15.75" x14ac:dyDescent="0.25">
      <c r="A37" s="580"/>
      <c r="B37" s="1"/>
      <c r="C37" s="1200" t="s">
        <v>700</v>
      </c>
      <c r="D37" s="1200"/>
      <c r="E37" s="1200"/>
      <c r="F37" s="1200"/>
      <c r="G37" s="187"/>
      <c r="H37" s="580"/>
      <c r="I37" s="500"/>
    </row>
    <row r="38" spans="1:31" s="500" customFormat="1" ht="15.75" x14ac:dyDescent="0.25">
      <c r="A38" s="580"/>
      <c r="B38" s="2"/>
      <c r="C38" s="573" t="s">
        <v>711</v>
      </c>
      <c r="D38" s="572"/>
      <c r="E38" s="571"/>
      <c r="F38" s="573" t="s">
        <v>710</v>
      </c>
      <c r="G38" s="56"/>
      <c r="H38" s="580"/>
    </row>
    <row r="39" spans="1:31" s="500" customFormat="1" x14ac:dyDescent="0.25">
      <c r="A39" s="580"/>
      <c r="B39" s="1"/>
      <c r="C39" s="359" t="s">
        <v>77</v>
      </c>
      <c r="D39" s="27">
        <f>(INDEX(Capacity,MATCH(D9,INDEX(Capacity,,1),0),MATCH(D8,INDEX(Capacity,1,),0)))*D10</f>
        <v>1600</v>
      </c>
      <c r="E39" s="27">
        <f>(INDEX(Capacity,MATCH(E9,INDEX(Capacity,,1),0),MATCH(E8,INDEX(Capacity,1,),0)))*E10</f>
        <v>1600</v>
      </c>
      <c r="F39" s="485">
        <f>(INDEX(Capacity,MATCH(F9,INDEX(Capacity,,1),0),MATCH(F8,INDEX(Capacity,1,),0)))*F10</f>
        <v>1000</v>
      </c>
      <c r="G39" s="56"/>
      <c r="H39" s="580"/>
    </row>
    <row r="40" spans="1:31" s="500" customFormat="1" x14ac:dyDescent="0.25">
      <c r="A40" s="580"/>
      <c r="B40" s="302"/>
      <c r="C40" s="359" t="s">
        <v>78</v>
      </c>
      <c r="D40" s="27">
        <f>INDEX(Capacity,MATCH(D11,INDEX(Capacity,,1),0),MATCH(D8,INDEX(Capacity,1,),0))*D12</f>
        <v>500</v>
      </c>
      <c r="E40" s="27">
        <f>INDEX(Capacity,MATCH(E11,INDEX(Capacity,,1),0),MATCH(E8,INDEX(Capacity,1,),0))*E12</f>
        <v>500</v>
      </c>
      <c r="F40" s="485">
        <f>INDEX(Capacity,MATCH(F11,INDEX(Capacity,,1),0),MATCH(F8,INDEX(Capacity,1,),0))*F12</f>
        <v>500</v>
      </c>
      <c r="G40" s="56"/>
      <c r="H40" s="580"/>
      <c r="I40" s="744"/>
    </row>
    <row r="41" spans="1:31" x14ac:dyDescent="0.25">
      <c r="A41" s="580"/>
      <c r="B41" s="116"/>
      <c r="C41" s="348" t="s">
        <v>86</v>
      </c>
      <c r="D41" s="40">
        <f>MAX(D13/D39,D14/D40)</f>
        <v>1.3080000000000001</v>
      </c>
      <c r="E41" s="40">
        <f>MAX(E13/E39,E14/E40)</f>
        <v>1.3080000000000001</v>
      </c>
      <c r="F41" s="953">
        <f>MAX(F13/F39,F14/F40)</f>
        <v>1.5960000000000001</v>
      </c>
      <c r="G41" s="116"/>
      <c r="H41" s="580"/>
      <c r="I41" s="500"/>
    </row>
    <row r="42" spans="1:31" s="500" customFormat="1" x14ac:dyDescent="0.25">
      <c r="A42" s="580"/>
      <c r="B42" s="116"/>
      <c r="C42" s="348" t="s">
        <v>87</v>
      </c>
      <c r="D42" s="27">
        <f>0.5*D17*(1-D24)^2/(1-(MIN(1,D41)*D24))</f>
        <v>25</v>
      </c>
      <c r="E42" s="27">
        <f>0.5*E17*(1-E24)^2/(1-(MIN(1,E41)*E24))</f>
        <v>25</v>
      </c>
      <c r="F42" s="485">
        <f>0.5*F17*(1-F24)^2/(1-(MIN(1,F41)*F24))</f>
        <v>25</v>
      </c>
      <c r="G42" s="116"/>
      <c r="H42" s="580"/>
      <c r="I42" s="744"/>
    </row>
    <row r="43" spans="1:31" x14ac:dyDescent="0.25">
      <c r="A43" s="580"/>
      <c r="B43" s="116"/>
      <c r="C43" s="359" t="s">
        <v>88</v>
      </c>
      <c r="D43" s="27">
        <f>((D13+D14)*D18)/3600</f>
        <v>31.25</v>
      </c>
      <c r="E43" s="27">
        <f>((E13+E14)*E18)/3600</f>
        <v>31.25</v>
      </c>
      <c r="F43" s="485">
        <f>((F13+F14)*F18)/3600</f>
        <v>31.25</v>
      </c>
      <c r="G43" s="116"/>
      <c r="H43" s="580"/>
      <c r="I43" s="1123"/>
      <c r="K43" s="1123"/>
      <c r="L43" s="1123"/>
    </row>
    <row r="44" spans="1:31" s="501" customFormat="1" x14ac:dyDescent="0.25">
      <c r="A44" s="580"/>
      <c r="B44" s="302"/>
      <c r="C44" s="359" t="s">
        <v>89</v>
      </c>
      <c r="D44" s="77">
        <f>((D13+D14)*D42)/3600</f>
        <v>15.625</v>
      </c>
      <c r="E44" s="77">
        <f>((E13+E14)*E42)/3600</f>
        <v>15.625</v>
      </c>
      <c r="F44" s="954">
        <f>((F13+F14)*F42)/3600</f>
        <v>15.625</v>
      </c>
      <c r="G44" s="78"/>
      <c r="H44" s="580"/>
      <c r="I44" s="1123"/>
      <c r="J44" s="1123"/>
      <c r="K44" s="1123"/>
      <c r="L44" s="1123"/>
      <c r="M44" s="1123"/>
      <c r="N44" s="1123"/>
      <c r="O44" s="1123"/>
      <c r="P44" s="1123"/>
      <c r="Q44" s="1123"/>
      <c r="R44" s="1123"/>
      <c r="S44" s="1123"/>
      <c r="T44" s="1123"/>
      <c r="U44" s="1123"/>
      <c r="V44" s="1123"/>
      <c r="W44" s="1123"/>
      <c r="X44" s="1123"/>
      <c r="Y44" s="1123"/>
      <c r="Z44" s="1123"/>
      <c r="AA44" s="1123"/>
      <c r="AB44" s="1123"/>
      <c r="AC44" s="1123"/>
      <c r="AD44" s="1123"/>
      <c r="AE44" s="1123"/>
    </row>
    <row r="45" spans="1:31" s="501" customFormat="1" x14ac:dyDescent="0.25">
      <c r="A45" s="741"/>
      <c r="B45" s="1001"/>
      <c r="C45" s="359" t="s">
        <v>838</v>
      </c>
      <c r="D45" s="27"/>
      <c r="E45" s="27"/>
      <c r="F45" s="1074">
        <f>(F13*F15+F14*F16)/(F13+F14)</f>
        <v>5.581333333333334E-2</v>
      </c>
      <c r="G45" s="260"/>
      <c r="H45" s="741"/>
      <c r="I45" s="1123"/>
      <c r="J45" s="1123"/>
      <c r="K45" s="1123"/>
      <c r="L45" s="1123"/>
      <c r="M45" s="1123"/>
      <c r="N45" s="1123"/>
      <c r="O45" s="1123"/>
      <c r="P45" s="1123"/>
      <c r="Q45" s="1123"/>
      <c r="R45" s="1123"/>
      <c r="S45" s="1123"/>
      <c r="T45" s="1123"/>
      <c r="U45" s="1123"/>
      <c r="V45" s="1123"/>
      <c r="W45" s="1123"/>
      <c r="X45" s="1123"/>
      <c r="Y45" s="1123"/>
      <c r="Z45" s="1123"/>
      <c r="AA45" s="1123"/>
      <c r="AB45" s="1123"/>
      <c r="AC45" s="1123"/>
      <c r="AD45" s="1123"/>
      <c r="AE45" s="1123"/>
    </row>
    <row r="46" spans="1:31" s="501" customFormat="1" ht="15.75" x14ac:dyDescent="0.25">
      <c r="A46" s="580"/>
      <c r="B46" s="116"/>
      <c r="C46" s="359" t="s">
        <v>387</v>
      </c>
      <c r="D46" s="27">
        <f t="shared" ref="D46:E50" si="1">D$22*((D$43*(1-D$15)*D26)+(D$43*D$15*D31)+(D$18*(1-D$16)*D26)+(D$18*D$16*D31))</f>
        <v>3248661.1893873452</v>
      </c>
      <c r="E46" s="27">
        <f t="shared" si="1"/>
        <v>2898527.5083473958</v>
      </c>
      <c r="F46" s="485">
        <f>F$22*((F$43*(1-F$45)*F26)+(F$43*F$45*F31))</f>
        <v>1227866.6846133319</v>
      </c>
      <c r="G46" s="264"/>
      <c r="H46" s="580"/>
      <c r="I46" s="1145"/>
      <c r="J46" s="1123"/>
      <c r="K46" s="1123"/>
      <c r="L46" s="1123"/>
      <c r="M46" s="1123"/>
      <c r="N46" s="1123"/>
      <c r="O46" s="1123"/>
      <c r="P46" s="1123"/>
      <c r="Q46" s="1123"/>
      <c r="R46" s="1123"/>
      <c r="S46" s="1123"/>
      <c r="T46" s="1123"/>
      <c r="U46" s="1123"/>
      <c r="V46" s="1123"/>
      <c r="W46" s="1123"/>
      <c r="X46" s="1123"/>
      <c r="Y46" s="1123"/>
      <c r="Z46" s="1123"/>
      <c r="AA46" s="1123"/>
      <c r="AB46" s="1123"/>
      <c r="AC46" s="1123"/>
      <c r="AD46" s="1123"/>
      <c r="AE46" s="1123"/>
    </row>
    <row r="47" spans="1:31" s="501" customFormat="1" x14ac:dyDescent="0.25">
      <c r="A47" s="580"/>
      <c r="B47" s="302"/>
      <c r="C47" s="359" t="s">
        <v>633</v>
      </c>
      <c r="D47" s="27">
        <f t="shared" si="1"/>
        <v>5857.1275890518791</v>
      </c>
      <c r="E47" s="27">
        <f t="shared" si="1"/>
        <v>2171.2533137385121</v>
      </c>
      <c r="F47" s="485">
        <f t="shared" ref="F47:F50" si="2">F$22*((F$43*(1-F$45)*F27)+(F$43*F$45*F32))</f>
        <v>1980.5520632762057</v>
      </c>
      <c r="G47" s="260"/>
      <c r="H47" s="580"/>
      <c r="I47" s="744"/>
      <c r="J47" s="1123"/>
      <c r="K47" s="744"/>
      <c r="L47" s="744"/>
      <c r="M47" s="1123"/>
      <c r="N47" s="1123"/>
      <c r="O47" s="1123"/>
      <c r="P47" s="1123"/>
      <c r="Q47" s="1123"/>
      <c r="R47" s="1123"/>
      <c r="S47" s="1123"/>
      <c r="T47" s="1123"/>
      <c r="U47" s="1123"/>
      <c r="V47" s="1123"/>
      <c r="W47" s="1123"/>
      <c r="X47" s="1123"/>
      <c r="Y47" s="1123"/>
      <c r="Z47" s="1123"/>
      <c r="AA47" s="1123"/>
      <c r="AB47" s="1123"/>
      <c r="AC47" s="1123"/>
      <c r="AD47" s="1123"/>
      <c r="AE47" s="1123"/>
    </row>
    <row r="48" spans="1:31" x14ac:dyDescent="0.25">
      <c r="A48" s="580"/>
      <c r="B48" s="47"/>
      <c r="C48" s="359" t="s">
        <v>389</v>
      </c>
      <c r="D48" s="27">
        <f t="shared" si="1"/>
        <v>354.13840243726111</v>
      </c>
      <c r="E48" s="27">
        <f t="shared" si="1"/>
        <v>152.9184452058432</v>
      </c>
      <c r="F48" s="485">
        <f t="shared" si="2"/>
        <v>121.17535930800015</v>
      </c>
      <c r="G48" s="260"/>
      <c r="H48" s="580"/>
    </row>
    <row r="49" spans="1:11" x14ac:dyDescent="0.25">
      <c r="A49" s="580"/>
      <c r="B49" s="47"/>
      <c r="C49" s="359" t="s">
        <v>634</v>
      </c>
      <c r="D49" s="27">
        <f t="shared" si="1"/>
        <v>7544.0599032124364</v>
      </c>
      <c r="E49" s="27">
        <f t="shared" si="1"/>
        <v>3299.9831406333788</v>
      </c>
      <c r="F49" s="485">
        <f t="shared" si="2"/>
        <v>2630.0554079324365</v>
      </c>
      <c r="G49" s="260"/>
      <c r="H49" s="580"/>
    </row>
    <row r="50" spans="1:11" x14ac:dyDescent="0.25">
      <c r="A50" s="580"/>
      <c r="B50" s="47"/>
      <c r="C50" s="359" t="s">
        <v>388</v>
      </c>
      <c r="D50" s="27">
        <f t="shared" si="1"/>
        <v>2709.8615059112981</v>
      </c>
      <c r="E50" s="27">
        <f t="shared" si="1"/>
        <v>721.55002443797457</v>
      </c>
      <c r="F50" s="485">
        <f t="shared" si="2"/>
        <v>947.86514334668266</v>
      </c>
      <c r="G50" s="260"/>
      <c r="H50" s="580"/>
    </row>
    <row r="51" spans="1:11" x14ac:dyDescent="0.25">
      <c r="A51" s="580"/>
      <c r="B51" s="302"/>
      <c r="C51" s="359" t="s">
        <v>390</v>
      </c>
      <c r="D51" s="27">
        <f t="shared" ref="D51:E55" si="3">D$22*((D$44*(1-D$15)*D26)+(D$44*D$15*D31)+(D$18*(1-D$16)*D26)+(D$18*D$16*D31))</f>
        <v>2631556.0582577148</v>
      </c>
      <c r="E51" s="27">
        <f t="shared" si="3"/>
        <v>2349624.6953347675</v>
      </c>
      <c r="F51" s="485">
        <f>F$22*((F$44*(1-F$45)*F26)+(F$44*F$45*F31))</f>
        <v>613933.34230666596</v>
      </c>
      <c r="G51" s="264"/>
      <c r="H51" s="580"/>
    </row>
    <row r="52" spans="1:11" x14ac:dyDescent="0.25">
      <c r="A52" s="580"/>
      <c r="B52" s="302"/>
      <c r="C52" s="359" t="s">
        <v>635</v>
      </c>
      <c r="D52" s="27">
        <f t="shared" si="3"/>
        <v>4862.1314281325303</v>
      </c>
      <c r="E52" s="27">
        <f t="shared" si="3"/>
        <v>1807.1985415458084</v>
      </c>
      <c r="F52" s="485">
        <f t="shared" ref="F52:F55" si="4">F$22*((F$44*(1-F$45)*F27)+(F$44*F$45*F32))</f>
        <v>990.27603163810284</v>
      </c>
      <c r="G52" s="78"/>
      <c r="H52" s="580"/>
    </row>
    <row r="53" spans="1:11" x14ac:dyDescent="0.25">
      <c r="A53" s="580"/>
      <c r="B53" s="302"/>
      <c r="C53" s="359" t="s">
        <v>392</v>
      </c>
      <c r="D53" s="27">
        <f t="shared" si="3"/>
        <v>293.36420316356066</v>
      </c>
      <c r="E53" s="27">
        <f t="shared" si="3"/>
        <v>126.64828457942164</v>
      </c>
      <c r="F53" s="485">
        <f t="shared" si="4"/>
        <v>60.587679654000077</v>
      </c>
      <c r="G53" s="78"/>
      <c r="H53" s="580"/>
    </row>
    <row r="54" spans="1:11" x14ac:dyDescent="0.25">
      <c r="A54" s="580"/>
      <c r="B54" s="302"/>
      <c r="C54" s="359" t="s">
        <v>636</v>
      </c>
      <c r="D54" s="27">
        <f t="shared" si="3"/>
        <v>6202.2140655127578</v>
      </c>
      <c r="E54" s="27">
        <f t="shared" si="3"/>
        <v>2710.9110301921373</v>
      </c>
      <c r="F54" s="485">
        <f t="shared" si="4"/>
        <v>1315.0277039662183</v>
      </c>
      <c r="G54" s="78"/>
      <c r="H54" s="580"/>
    </row>
    <row r="55" spans="1:11" x14ac:dyDescent="0.25">
      <c r="A55" s="580"/>
      <c r="B55" s="302"/>
      <c r="C55" s="359" t="s">
        <v>391</v>
      </c>
      <c r="D55" s="27">
        <f t="shared" si="3"/>
        <v>2206.6634155870129</v>
      </c>
      <c r="E55" s="27">
        <f t="shared" si="3"/>
        <v>591.19232864291735</v>
      </c>
      <c r="F55" s="485">
        <f t="shared" si="4"/>
        <v>473.93257167334133</v>
      </c>
      <c r="G55" s="78"/>
      <c r="H55" s="580"/>
    </row>
    <row r="56" spans="1:11" x14ac:dyDescent="0.25">
      <c r="A56" s="580"/>
      <c r="B56" s="302"/>
      <c r="C56" s="29"/>
      <c r="D56" s="58"/>
      <c r="E56" s="58"/>
      <c r="F56" s="58"/>
      <c r="G56" s="260"/>
      <c r="H56" s="580"/>
    </row>
    <row r="57" spans="1:11" ht="15.75" x14ac:dyDescent="0.25">
      <c r="A57" s="580"/>
      <c r="B57" s="302"/>
      <c r="C57" s="1197" t="s">
        <v>701</v>
      </c>
      <c r="D57" s="1197"/>
      <c r="E57" s="1197"/>
      <c r="F57" s="1197"/>
      <c r="G57" s="260"/>
      <c r="H57" s="580"/>
    </row>
    <row r="58" spans="1:11" ht="15.75" thickBot="1" x14ac:dyDescent="0.3">
      <c r="A58" s="580"/>
      <c r="B58" s="302"/>
      <c r="C58" s="574" t="s">
        <v>990</v>
      </c>
      <c r="D58" s="58"/>
      <c r="E58" s="58"/>
      <c r="F58" s="58"/>
      <c r="G58" s="78"/>
      <c r="H58" s="580"/>
    </row>
    <row r="59" spans="1:11" x14ac:dyDescent="0.25">
      <c r="A59" s="580"/>
      <c r="B59" s="302"/>
      <c r="C59" s="470" t="s">
        <v>124</v>
      </c>
      <c r="D59" s="1047">
        <f>(D43*D22*D23)-(D44*D22*D23)</f>
        <v>39062.5</v>
      </c>
      <c r="E59" s="1056">
        <f>(E43*E22*E23)-(E44*E22*E23)</f>
        <v>39062.5</v>
      </c>
      <c r="F59" s="1061">
        <f>(F43*F22*F23)-(F44*F22*F23)</f>
        <v>39062.5</v>
      </c>
      <c r="G59" s="209"/>
      <c r="H59" s="580"/>
    </row>
    <row r="60" spans="1:11" ht="15.75" thickBot="1" x14ac:dyDescent="0.3">
      <c r="A60" s="741"/>
      <c r="B60" s="1001"/>
      <c r="C60" s="508" t="s">
        <v>52</v>
      </c>
      <c r="D60" s="1066" t="s">
        <v>360</v>
      </c>
      <c r="E60" s="1066" t="s">
        <v>360</v>
      </c>
      <c r="F60" s="1066" t="s">
        <v>360</v>
      </c>
      <c r="G60" s="209"/>
      <c r="H60" s="741"/>
    </row>
    <row r="61" spans="1:11" x14ac:dyDescent="0.25">
      <c r="A61" s="580"/>
      <c r="B61" s="302"/>
      <c r="C61" s="522"/>
      <c r="D61" s="581"/>
      <c r="E61" s="536"/>
      <c r="F61" s="536"/>
      <c r="G61" s="209"/>
      <c r="H61" s="580"/>
    </row>
    <row r="62" spans="1:11" ht="15.75" thickBot="1" x14ac:dyDescent="0.3">
      <c r="A62" s="580"/>
      <c r="B62" s="302"/>
      <c r="C62" s="586" t="s">
        <v>724</v>
      </c>
      <c r="D62" s="58"/>
      <c r="E62" s="58"/>
      <c r="F62" s="58"/>
      <c r="G62" s="78"/>
      <c r="H62" s="580"/>
      <c r="K62" s="1086"/>
    </row>
    <row r="63" spans="1:11" ht="15.75" thickBot="1" x14ac:dyDescent="0.3">
      <c r="A63" s="580"/>
      <c r="B63" s="302"/>
      <c r="C63" s="802" t="s">
        <v>817</v>
      </c>
      <c r="D63" s="59">
        <f>(D46-D51)*D$23</f>
        <v>154276282.78240758</v>
      </c>
      <c r="E63" s="59">
        <f t="shared" ref="D63:F67" si="5">(E46-E51)*E$23</f>
        <v>137225703.25315708</v>
      </c>
      <c r="F63" s="950">
        <f t="shared" si="5"/>
        <v>153483335.5766665</v>
      </c>
      <c r="G63" s="78"/>
      <c r="H63" s="580"/>
    </row>
    <row r="64" spans="1:11" ht="15.75" thickBot="1" x14ac:dyDescent="0.3">
      <c r="A64" s="580"/>
      <c r="B64" s="332"/>
      <c r="C64" s="330" t="s">
        <v>818</v>
      </c>
      <c r="D64" s="59">
        <f t="shared" si="5"/>
        <v>248749.04022983718</v>
      </c>
      <c r="E64" s="59">
        <f t="shared" si="5"/>
        <v>91013.693048175919</v>
      </c>
      <c r="F64" s="524">
        <f t="shared" si="5"/>
        <v>247569.00790952571</v>
      </c>
      <c r="G64" s="78"/>
      <c r="H64" s="580"/>
    </row>
    <row r="65" spans="1:8" ht="15.75" thickBot="1" x14ac:dyDescent="0.3">
      <c r="A65" s="580"/>
      <c r="B65" s="332"/>
      <c r="C65" s="803" t="s">
        <v>819</v>
      </c>
      <c r="D65" s="59">
        <f t="shared" si="5"/>
        <v>15193.549818425112</v>
      </c>
      <c r="E65" s="59">
        <f t="shared" si="5"/>
        <v>6567.5401566053897</v>
      </c>
      <c r="F65" s="524">
        <f t="shared" si="5"/>
        <v>15146.91991350002</v>
      </c>
      <c r="G65" s="78"/>
      <c r="H65" s="580"/>
    </row>
    <row r="66" spans="1:8" ht="15.75" thickBot="1" x14ac:dyDescent="0.3">
      <c r="A66" s="580"/>
      <c r="B66" s="332"/>
      <c r="C66" s="803" t="s">
        <v>820</v>
      </c>
      <c r="D66" s="59">
        <f t="shared" si="5"/>
        <v>335461.45942491968</v>
      </c>
      <c r="E66" s="59">
        <f t="shared" si="5"/>
        <v>147268.02761031035</v>
      </c>
      <c r="F66" s="524">
        <f t="shared" si="5"/>
        <v>328756.92599155457</v>
      </c>
      <c r="G66" s="78"/>
      <c r="H66" s="580"/>
    </row>
    <row r="67" spans="1:8" ht="15.75" thickBot="1" x14ac:dyDescent="0.3">
      <c r="A67" s="580"/>
      <c r="B67" s="332"/>
      <c r="C67" s="330" t="s">
        <v>821</v>
      </c>
      <c r="D67" s="59">
        <f t="shared" si="5"/>
        <v>125799.5225810713</v>
      </c>
      <c r="E67" s="59">
        <f t="shared" si="5"/>
        <v>32589.423948764306</v>
      </c>
      <c r="F67" s="952">
        <f t="shared" si="5"/>
        <v>118483.14291833533</v>
      </c>
      <c r="G67" s="78"/>
      <c r="H67" s="580"/>
    </row>
    <row r="68" spans="1:8" x14ac:dyDescent="0.25">
      <c r="A68" s="580"/>
      <c r="B68" s="332"/>
      <c r="C68" s="329" t="s">
        <v>974</v>
      </c>
      <c r="D68" s="576"/>
      <c r="E68" s="575"/>
      <c r="F68" s="716">
        <f>(F63*0.00000110231)/$F$23</f>
        <v>0.6767448625580611</v>
      </c>
      <c r="G68" s="78"/>
      <c r="H68" s="580"/>
    </row>
    <row r="69" spans="1:8" x14ac:dyDescent="0.25">
      <c r="A69" s="580"/>
      <c r="B69" s="332"/>
      <c r="C69" s="330" t="s">
        <v>975</v>
      </c>
      <c r="D69" s="577"/>
      <c r="E69" s="575"/>
      <c r="F69" s="691">
        <f t="shared" ref="F69:F72" si="6">(F64*0.00000110231)/$F$23</f>
        <v>1.0915911724349971E-3</v>
      </c>
      <c r="G69" s="78"/>
      <c r="H69" s="580"/>
    </row>
    <row r="70" spans="1:8" x14ac:dyDescent="0.25">
      <c r="A70" s="580"/>
      <c r="B70" s="332"/>
      <c r="C70" s="330" t="s">
        <v>976</v>
      </c>
      <c r="D70" s="577"/>
      <c r="E70" s="575"/>
      <c r="F70" s="691">
        <f t="shared" si="6"/>
        <v>6.6786405159400828E-5</v>
      </c>
      <c r="G70" s="78"/>
      <c r="H70" s="580"/>
    </row>
    <row r="71" spans="1:8" x14ac:dyDescent="0.25">
      <c r="A71" s="580"/>
      <c r="B71" s="332"/>
      <c r="C71" s="330" t="s">
        <v>977</v>
      </c>
      <c r="D71" s="577"/>
      <c r="E71" s="575"/>
      <c r="F71" s="691">
        <f t="shared" si="6"/>
        <v>1.449568188359002E-3</v>
      </c>
      <c r="G71" s="78"/>
      <c r="H71" s="580"/>
    </row>
    <row r="72" spans="1:8" ht="11.25" customHeight="1" thickBot="1" x14ac:dyDescent="0.3">
      <c r="A72" s="580"/>
      <c r="B72" s="332"/>
      <c r="C72" s="331" t="s">
        <v>978</v>
      </c>
      <c r="D72" s="578"/>
      <c r="E72" s="575"/>
      <c r="F72" s="491">
        <f t="shared" si="6"/>
        <v>5.2242061308124083E-4</v>
      </c>
      <c r="G72"/>
      <c r="H72" s="580"/>
    </row>
    <row r="73" spans="1:8" x14ac:dyDescent="0.25">
      <c r="A73" s="580"/>
      <c r="B73" s="302"/>
      <c r="C73"/>
      <c r="D73"/>
      <c r="E73" s="47"/>
      <c r="F73"/>
      <c r="G73"/>
      <c r="H73" s="580"/>
    </row>
    <row r="74" spans="1:8" x14ac:dyDescent="0.25">
      <c r="A74" s="580"/>
      <c r="B74" s="580"/>
      <c r="C74" s="580"/>
      <c r="D74" s="580"/>
      <c r="E74" s="580"/>
      <c r="F74" s="580"/>
      <c r="G74" s="580"/>
      <c r="H74" s="580"/>
    </row>
  </sheetData>
  <mergeCells count="5">
    <mergeCell ref="C57:F57"/>
    <mergeCell ref="C3:F3"/>
    <mergeCell ref="C5:F5"/>
    <mergeCell ref="C20:F20"/>
    <mergeCell ref="C37:F37"/>
  </mergeCell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OtherVariables!$I$121:$I$131</xm:f>
          </x14:formula1>
          <xm:sqref>F7</xm:sqref>
        </x14:dataValidation>
        <x14:dataValidation type="list" allowBlank="1" showInputMessage="1" showErrorMessage="1">
          <x14:formula1>
            <xm:f>OtherVariables!$B$21:$B$27</xm:f>
          </x14:formula1>
          <xm:sqref>D11:F11 D9:F9</xm:sqref>
        </x14:dataValidation>
        <x14:dataValidation type="list" allowBlank="1" showInputMessage="1" showErrorMessage="1">
          <x14:formula1>
            <xm:f>OtherVariables!$C$9:$I$9</xm:f>
          </x14:formula1>
          <xm:sqref>D8:F8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X72"/>
  <sheetViews>
    <sheetView showGridLines="0" topLeftCell="B1" zoomScale="85" zoomScaleNormal="85" workbookViewId="0">
      <selection activeCell="I18" sqref="I18"/>
    </sheetView>
  </sheetViews>
  <sheetFormatPr defaultRowHeight="15" x14ac:dyDescent="0.25"/>
  <cols>
    <col min="1" max="1" width="2.42578125" style="294" customWidth="1"/>
    <col min="2" max="2" width="1.85546875" style="294" customWidth="1"/>
    <col min="3" max="3" width="80.42578125" style="294" customWidth="1"/>
    <col min="4" max="4" width="18.28515625" style="294" hidden="1" customWidth="1"/>
    <col min="5" max="5" width="19.28515625" style="501" hidden="1" customWidth="1"/>
    <col min="6" max="6" width="25.5703125" style="501" customWidth="1"/>
    <col min="7" max="7" width="1.7109375" style="294" customWidth="1"/>
    <col min="8" max="8" width="2.28515625" style="294" customWidth="1"/>
    <col min="9" max="9" width="21.7109375" style="294" customWidth="1"/>
    <col min="10" max="11" width="9.140625" style="294"/>
    <col min="12" max="12" width="9.140625" style="294" customWidth="1"/>
    <col min="13" max="13" width="42.42578125" style="294" bestFit="1" customWidth="1"/>
    <col min="14" max="16384" width="9.140625" style="294"/>
  </cols>
  <sheetData>
    <row r="1" spans="1:24" x14ac:dyDescent="0.25">
      <c r="A1" s="531"/>
      <c r="B1" s="531"/>
      <c r="C1" s="531"/>
      <c r="D1" s="531"/>
      <c r="E1" s="531"/>
      <c r="F1" s="531"/>
      <c r="G1" s="531"/>
      <c r="H1" s="531"/>
    </row>
    <row r="2" spans="1:24" x14ac:dyDescent="0.25">
      <c r="A2" s="531"/>
      <c r="B2" s="530"/>
      <c r="C2" s="530"/>
      <c r="D2" s="530"/>
      <c r="E2" s="530"/>
      <c r="F2" s="530"/>
      <c r="G2" s="530"/>
      <c r="H2" s="531"/>
    </row>
    <row r="3" spans="1:24" ht="26.25" x14ac:dyDescent="0.25">
      <c r="A3" s="533"/>
      <c r="B3" s="302"/>
      <c r="C3" s="1199" t="s">
        <v>354</v>
      </c>
      <c r="D3" s="1199"/>
      <c r="E3" s="1199"/>
      <c r="F3" s="1199"/>
      <c r="G3" s="382"/>
      <c r="H3" s="533"/>
      <c r="J3" s="499"/>
      <c r="X3" s="445">
        <v>2011</v>
      </c>
    </row>
    <row r="4" spans="1:24" s="509" customFormat="1" ht="14.25" customHeight="1" x14ac:dyDescent="0.25">
      <c r="A4" s="490"/>
      <c r="B4" s="223"/>
      <c r="C4" s="223"/>
      <c r="D4" s="223"/>
      <c r="E4" s="503"/>
      <c r="F4" s="503"/>
      <c r="G4" s="382"/>
      <c r="H4" s="490"/>
      <c r="X4" s="521">
        <v>2012</v>
      </c>
    </row>
    <row r="5" spans="1:24" s="512" customFormat="1" ht="15" customHeight="1" x14ac:dyDescent="0.25">
      <c r="A5" s="533"/>
      <c r="B5" s="302"/>
      <c r="C5" s="1201" t="s">
        <v>703</v>
      </c>
      <c r="D5" s="1201"/>
      <c r="E5" s="1201"/>
      <c r="F5" s="1201"/>
      <c r="G5" s="382"/>
      <c r="H5" s="533"/>
      <c r="I5" s="294"/>
      <c r="X5" s="445">
        <v>2013</v>
      </c>
    </row>
    <row r="6" spans="1:24" s="512" customFormat="1" ht="15.75" x14ac:dyDescent="0.25">
      <c r="A6" s="533"/>
      <c r="B6" s="302"/>
      <c r="C6" s="540" t="s">
        <v>711</v>
      </c>
      <c r="D6" s="538"/>
      <c r="E6" s="537"/>
      <c r="F6" s="540" t="s">
        <v>720</v>
      </c>
      <c r="G6"/>
      <c r="H6" s="533"/>
      <c r="I6" s="294"/>
      <c r="L6" s="497"/>
      <c r="M6" s="497"/>
      <c r="X6" s="445">
        <v>2014</v>
      </c>
    </row>
    <row r="7" spans="1:24" s="512" customFormat="1" x14ac:dyDescent="0.25">
      <c r="A7" s="533"/>
      <c r="B7" s="296"/>
      <c r="C7" s="466" t="s">
        <v>136</v>
      </c>
      <c r="D7" s="191">
        <v>2010</v>
      </c>
      <c r="E7" s="192">
        <v>2020</v>
      </c>
      <c r="F7" s="67">
        <v>2011</v>
      </c>
      <c r="G7" s="7"/>
      <c r="H7" s="533"/>
      <c r="I7" s="294"/>
      <c r="L7" s="497"/>
      <c r="M7" s="497"/>
      <c r="X7" s="445">
        <v>2015</v>
      </c>
    </row>
    <row r="8" spans="1:24" s="512" customFormat="1" x14ac:dyDescent="0.25">
      <c r="A8" s="533"/>
      <c r="B8" s="296"/>
      <c r="C8" s="554" t="s">
        <v>125</v>
      </c>
      <c r="D8" s="67" t="s">
        <v>104</v>
      </c>
      <c r="E8" s="67" t="s">
        <v>104</v>
      </c>
      <c r="F8" s="67" t="s">
        <v>104</v>
      </c>
      <c r="G8" s="65"/>
      <c r="H8" s="533"/>
      <c r="I8" s="294"/>
      <c r="K8" s="497"/>
      <c r="L8" s="497"/>
      <c r="M8" s="497"/>
      <c r="N8" s="294"/>
      <c r="X8" s="445">
        <v>2016</v>
      </c>
    </row>
    <row r="9" spans="1:24" s="512" customFormat="1" x14ac:dyDescent="0.25">
      <c r="A9" s="533"/>
      <c r="B9" s="296"/>
      <c r="C9" s="467" t="s">
        <v>127</v>
      </c>
      <c r="D9" s="68">
        <v>100</v>
      </c>
      <c r="E9" s="68">
        <v>100</v>
      </c>
      <c r="F9" s="68">
        <v>100</v>
      </c>
      <c r="G9" s="65"/>
      <c r="H9" s="533"/>
      <c r="I9" s="744" t="s">
        <v>997</v>
      </c>
      <c r="K9" s="497"/>
      <c r="L9" s="497"/>
      <c r="M9" s="497"/>
      <c r="X9" s="445">
        <v>2017</v>
      </c>
    </row>
    <row r="10" spans="1:24" s="512" customFormat="1" x14ac:dyDescent="0.25">
      <c r="A10" s="533"/>
      <c r="B10" s="296"/>
      <c r="C10" s="467" t="s">
        <v>106</v>
      </c>
      <c r="D10" s="68">
        <v>4</v>
      </c>
      <c r="E10" s="68">
        <v>4</v>
      </c>
      <c r="F10" s="68">
        <v>4</v>
      </c>
      <c r="G10" s="65"/>
      <c r="H10" s="533"/>
      <c r="K10" s="497"/>
      <c r="L10" s="497"/>
      <c r="M10" s="497"/>
      <c r="X10" s="445">
        <v>2018</v>
      </c>
    </row>
    <row r="11" spans="1:24" s="512" customFormat="1" x14ac:dyDescent="0.25">
      <c r="A11" s="533"/>
      <c r="B11" s="296"/>
      <c r="C11" s="467" t="s">
        <v>108</v>
      </c>
      <c r="D11" s="75">
        <v>0.05</v>
      </c>
      <c r="E11" s="75">
        <v>0.05</v>
      </c>
      <c r="F11" s="75">
        <v>0.05</v>
      </c>
      <c r="G11" s="65"/>
      <c r="H11" s="533"/>
      <c r="K11" s="497"/>
      <c r="L11" s="497"/>
      <c r="M11" s="497"/>
      <c r="X11" s="445">
        <v>2019</v>
      </c>
    </row>
    <row r="12" spans="1:24" s="512" customFormat="1" x14ac:dyDescent="0.25">
      <c r="A12" s="539"/>
      <c r="B12" s="296"/>
      <c r="C12" s="464"/>
      <c r="D12" s="528"/>
      <c r="E12" s="528"/>
      <c r="F12" s="528"/>
      <c r="G12" s="79"/>
      <c r="H12" s="539"/>
      <c r="K12" s="497"/>
      <c r="L12" s="497"/>
      <c r="M12" s="497"/>
    </row>
    <row r="13" spans="1:24" s="512" customFormat="1" ht="15.75" x14ac:dyDescent="0.25">
      <c r="A13" s="533"/>
      <c r="B13" s="296"/>
      <c r="C13" s="1200" t="s">
        <v>702</v>
      </c>
      <c r="D13" s="1200"/>
      <c r="E13" s="1200"/>
      <c r="F13" s="1200"/>
      <c r="G13" s="79"/>
      <c r="H13" s="533"/>
      <c r="K13" s="497"/>
      <c r="L13" s="497"/>
      <c r="M13" s="497"/>
    </row>
    <row r="14" spans="1:24" s="512" customFormat="1" x14ac:dyDescent="0.25">
      <c r="A14" s="533"/>
      <c r="B14" s="296"/>
      <c r="C14" s="542" t="s">
        <v>1</v>
      </c>
      <c r="D14" s="543">
        <v>2010</v>
      </c>
      <c r="E14" s="543">
        <v>2020</v>
      </c>
      <c r="F14" s="562"/>
      <c r="G14" s="79"/>
      <c r="H14" s="533"/>
      <c r="I14" s="504"/>
      <c r="K14" s="497"/>
      <c r="L14" s="497"/>
      <c r="M14" s="497"/>
      <c r="N14" s="294"/>
    </row>
    <row r="15" spans="1:24" s="512" customFormat="1" x14ac:dyDescent="0.25">
      <c r="A15" s="533"/>
      <c r="B15" s="296"/>
      <c r="C15" s="379" t="s">
        <v>69</v>
      </c>
      <c r="D15" s="20">
        <v>10</v>
      </c>
      <c r="E15" s="20">
        <v>10</v>
      </c>
      <c r="F15" s="938">
        <v>10</v>
      </c>
      <c r="G15" s="47"/>
      <c r="H15" s="533"/>
      <c r="I15" s="478"/>
      <c r="K15" s="497"/>
      <c r="L15" s="497"/>
      <c r="M15" s="497"/>
    </row>
    <row r="16" spans="1:24" s="512" customFormat="1" x14ac:dyDescent="0.25">
      <c r="A16" s="533"/>
      <c r="B16" s="296"/>
      <c r="C16" s="379" t="s">
        <v>71</v>
      </c>
      <c r="D16" s="20">
        <v>250</v>
      </c>
      <c r="E16" s="20">
        <v>250</v>
      </c>
      <c r="F16" s="938">
        <v>250</v>
      </c>
      <c r="G16" s="47"/>
      <c r="H16" s="533"/>
      <c r="I16" s="473"/>
      <c r="K16" s="497"/>
      <c r="L16" s="497"/>
      <c r="M16" s="497"/>
    </row>
    <row r="17" spans="1:15" s="512" customFormat="1" x14ac:dyDescent="0.25">
      <c r="A17" s="533"/>
      <c r="B17" s="296"/>
      <c r="C17" s="467" t="s">
        <v>357</v>
      </c>
      <c r="D17" s="20">
        <v>400</v>
      </c>
      <c r="E17" s="20">
        <v>400</v>
      </c>
      <c r="F17" s="938">
        <v>400</v>
      </c>
      <c r="G17" s="65"/>
      <c r="H17" s="533"/>
      <c r="K17" s="497"/>
      <c r="L17" s="497"/>
      <c r="M17" s="497"/>
    </row>
    <row r="18" spans="1:15" s="512" customFormat="1" x14ac:dyDescent="0.25">
      <c r="A18" s="533"/>
      <c r="B18" s="296"/>
      <c r="C18" s="379" t="s">
        <v>85</v>
      </c>
      <c r="D18" s="20">
        <v>0.5</v>
      </c>
      <c r="E18" s="20">
        <v>0.5</v>
      </c>
      <c r="F18" s="938">
        <v>0.5</v>
      </c>
      <c r="G18" s="47"/>
      <c r="H18" s="533"/>
      <c r="I18" s="478"/>
      <c r="K18" s="294"/>
      <c r="M18" s="497"/>
      <c r="N18" s="497"/>
      <c r="O18" s="497"/>
    </row>
    <row r="19" spans="1:15" s="512" customFormat="1" x14ac:dyDescent="0.25">
      <c r="A19" s="533"/>
      <c r="B19" s="296"/>
      <c r="C19" s="379" t="s">
        <v>109</v>
      </c>
      <c r="D19" s="20">
        <v>1700</v>
      </c>
      <c r="E19" s="20">
        <v>1700</v>
      </c>
      <c r="F19" s="938">
        <v>1700</v>
      </c>
      <c r="G19" s="47"/>
      <c r="H19" s="533"/>
      <c r="I19" s="478"/>
    </row>
    <row r="20" spans="1:15" s="512" customFormat="1" x14ac:dyDescent="0.25">
      <c r="A20" s="533"/>
      <c r="B20" s="296"/>
      <c r="C20" s="379" t="s">
        <v>111</v>
      </c>
      <c r="D20" s="20">
        <f>IF(D8="left",0.95,0.85)</f>
        <v>0.95</v>
      </c>
      <c r="E20" s="20">
        <f>IF(E8="left",0.95,0.85)</f>
        <v>0.95</v>
      </c>
      <c r="F20" s="938">
        <f>IF(F8="left",0.95,0.85)</f>
        <v>0.95</v>
      </c>
      <c r="G20" s="47"/>
      <c r="H20" s="533"/>
      <c r="I20" s="478"/>
      <c r="J20" s="433"/>
      <c r="K20" s="294"/>
      <c r="M20" s="497"/>
      <c r="N20" s="497"/>
      <c r="O20" s="497"/>
    </row>
    <row r="21" spans="1:15" s="512" customFormat="1" x14ac:dyDescent="0.25">
      <c r="A21" s="533"/>
      <c r="B21" s="296"/>
      <c r="C21" s="379" t="s">
        <v>112</v>
      </c>
      <c r="D21" s="20">
        <v>0.9</v>
      </c>
      <c r="E21" s="20">
        <v>0.9</v>
      </c>
      <c r="F21" s="938">
        <v>0.9</v>
      </c>
      <c r="G21" s="47"/>
      <c r="H21" s="533"/>
      <c r="M21" s="497"/>
      <c r="N21" s="497"/>
      <c r="O21" s="497"/>
    </row>
    <row r="22" spans="1:15" s="512" customFormat="1" x14ac:dyDescent="0.25">
      <c r="A22" s="533"/>
      <c r="B22" s="296"/>
      <c r="C22" s="348" t="s">
        <v>50</v>
      </c>
      <c r="D22" s="15">
        <v>80</v>
      </c>
      <c r="E22" s="15">
        <v>80</v>
      </c>
      <c r="F22" s="939">
        <v>80</v>
      </c>
      <c r="G22" s="47"/>
      <c r="H22" s="533"/>
      <c r="I22" s="328"/>
      <c r="K22" s="497"/>
      <c r="L22" s="497"/>
      <c r="M22" s="497"/>
    </row>
    <row r="23" spans="1:15" x14ac:dyDescent="0.25">
      <c r="A23" s="533"/>
      <c r="B23" s="296"/>
      <c r="C23" s="542" t="s">
        <v>740</v>
      </c>
      <c r="D23" s="489"/>
      <c r="E23" s="489"/>
      <c r="F23" s="570">
        <f>F7</f>
        <v>2011</v>
      </c>
      <c r="G23" s="47"/>
      <c r="H23" s="533"/>
      <c r="I23" s="364"/>
      <c r="K23" s="497"/>
    </row>
    <row r="24" spans="1:15" s="512" customFormat="1" x14ac:dyDescent="0.25">
      <c r="A24" s="533"/>
      <c r="B24" s="296"/>
      <c r="C24" s="362" t="s">
        <v>413</v>
      </c>
      <c r="D24" s="14">
        <f>'2010ER'!AB4</f>
        <v>3750.9003016633078</v>
      </c>
      <c r="E24" s="14">
        <f>'2020ER'!AB4</f>
        <v>3291.8135998721814</v>
      </c>
      <c r="F24" s="788">
        <f>TREND(D24:E24,$D$7:$E$7,$F$7)</f>
        <v>3704.9916314841976</v>
      </c>
      <c r="G24" s="70"/>
      <c r="H24" s="533"/>
      <c r="I24" s="364"/>
      <c r="J24" s="294"/>
    </row>
    <row r="25" spans="1:15" s="512" customFormat="1" x14ac:dyDescent="0.25">
      <c r="A25" s="533"/>
      <c r="B25" s="296"/>
      <c r="C25" s="362" t="s">
        <v>417</v>
      </c>
      <c r="D25" s="14">
        <f>'2010ER'!AB5</f>
        <v>2.9522376685274958</v>
      </c>
      <c r="E25" s="14">
        <f>'2020ER'!AB5</f>
        <v>0.93910805035104805</v>
      </c>
      <c r="F25" s="788">
        <f t="shared" ref="F25:F33" si="0">TREND(D25:E25,$D$7:$E$7,$F$7)</f>
        <v>2.7509247067098954</v>
      </c>
      <c r="G25" s="70"/>
      <c r="H25" s="533"/>
      <c r="I25" s="294"/>
    </row>
    <row r="26" spans="1:15" s="512" customFormat="1" x14ac:dyDescent="0.25">
      <c r="A26" s="533"/>
      <c r="B26" s="302"/>
      <c r="C26" s="362" t="s">
        <v>416</v>
      </c>
      <c r="D26" s="14">
        <f>'2010ER'!AB6</f>
        <v>0.19839204428158921</v>
      </c>
      <c r="E26" s="14">
        <f>'2020ER'!AB6</f>
        <v>8.6560978266842434E-2</v>
      </c>
      <c r="F26" s="788">
        <f t="shared" si="0"/>
        <v>0.18720893768011138</v>
      </c>
      <c r="G26" s="39"/>
      <c r="H26" s="533"/>
      <c r="I26" s="294"/>
    </row>
    <row r="27" spans="1:15" s="492" customFormat="1" x14ac:dyDescent="0.25">
      <c r="A27" s="533"/>
      <c r="B27" s="296"/>
      <c r="C27" s="362" t="s">
        <v>415</v>
      </c>
      <c r="D27" s="14">
        <f>'2010ER'!AB7</f>
        <v>5.755505625407392</v>
      </c>
      <c r="E27" s="14">
        <f>'2020ER'!AB7</f>
        <v>2.5860206751293329</v>
      </c>
      <c r="F27" s="788">
        <f t="shared" si="0"/>
        <v>5.4385571303795359</v>
      </c>
      <c r="G27" s="47"/>
      <c r="H27" s="533"/>
      <c r="I27" s="328"/>
      <c r="L27" s="502"/>
    </row>
    <row r="28" spans="1:15" x14ac:dyDescent="0.25">
      <c r="A28" s="533"/>
      <c r="B28" s="296"/>
      <c r="C28" s="362" t="s">
        <v>414</v>
      </c>
      <c r="D28" s="14">
        <f>'2010ER'!AB8</f>
        <v>2.7543105969503339</v>
      </c>
      <c r="E28" s="14">
        <f>'2020ER'!AB8</f>
        <v>0.61583922156998427</v>
      </c>
      <c r="F28" s="788">
        <f t="shared" si="0"/>
        <v>2.5404634594122513</v>
      </c>
      <c r="G28" s="47"/>
      <c r="H28" s="533"/>
      <c r="I28" s="328"/>
      <c r="L28" s="502"/>
    </row>
    <row r="29" spans="1:15" x14ac:dyDescent="0.25">
      <c r="A29" s="533"/>
      <c r="B29" s="296"/>
      <c r="C29" s="363" t="s">
        <v>418</v>
      </c>
      <c r="D29" s="207">
        <f>'2010ER'!AL4</f>
        <v>7722.351052989884</v>
      </c>
      <c r="E29" s="207">
        <f>'2020ER'!AL4</f>
        <v>7715.1016680449866</v>
      </c>
      <c r="F29" s="788">
        <f t="shared" si="0"/>
        <v>7721.6261144953942</v>
      </c>
      <c r="G29" s="47"/>
      <c r="H29" s="533"/>
      <c r="I29" s="328"/>
    </row>
    <row r="30" spans="1:15" x14ac:dyDescent="0.25">
      <c r="A30" s="533"/>
      <c r="B30" s="71"/>
      <c r="C30" s="363" t="s">
        <v>422</v>
      </c>
      <c r="D30" s="207">
        <f>'2010ER'!AL5</f>
        <v>71.266992895654184</v>
      </c>
      <c r="E30" s="207">
        <f>'2020ER'!AL5</f>
        <v>28.755957883996196</v>
      </c>
      <c r="F30" s="788">
        <f t="shared" si="0"/>
        <v>67.015889394489932</v>
      </c>
      <c r="G30" s="47"/>
      <c r="H30" s="533"/>
      <c r="I30" s="492"/>
    </row>
    <row r="31" spans="1:15" x14ac:dyDescent="0.25">
      <c r="A31" s="533"/>
      <c r="B31" s="302"/>
      <c r="C31" s="363" t="s">
        <v>421</v>
      </c>
      <c r="D31" s="207">
        <f>'2010ER'!AL6</f>
        <v>4.0096486656834633</v>
      </c>
      <c r="E31" s="207">
        <f>'2020ER'!AL6</f>
        <v>1.7179219731119526</v>
      </c>
      <c r="F31" s="788">
        <f t="shared" si="0"/>
        <v>3.7804759964263326</v>
      </c>
      <c r="G31" s="47"/>
      <c r="H31" s="533"/>
      <c r="I31" s="492"/>
    </row>
    <row r="32" spans="1:15" x14ac:dyDescent="0.25">
      <c r="A32" s="533"/>
      <c r="B32" s="302"/>
      <c r="C32" s="363" t="s">
        <v>420</v>
      </c>
      <c r="D32" s="207">
        <f>'2010ER'!AL7</f>
        <v>62.401660342818353</v>
      </c>
      <c r="E32" s="207">
        <f>'2020ER'!AL7</f>
        <v>26.2668373090216</v>
      </c>
      <c r="F32" s="788">
        <f t="shared" si="0"/>
        <v>58.788178039438208</v>
      </c>
      <c r="G32" s="47"/>
      <c r="H32" s="533"/>
      <c r="I32" s="492"/>
    </row>
    <row r="33" spans="1:11" x14ac:dyDescent="0.25">
      <c r="A33" s="533"/>
      <c r="B33" s="302"/>
      <c r="C33" s="363" t="s">
        <v>419</v>
      </c>
      <c r="D33" s="207">
        <f>'2010ER'!AL8</f>
        <v>12.077454219452086</v>
      </c>
      <c r="E33" s="207">
        <f>'2020ER'!AL8</f>
        <v>4.984839851937636</v>
      </c>
      <c r="F33" s="788">
        <f t="shared" si="0"/>
        <v>11.368192782700589</v>
      </c>
      <c r="G33" s="47"/>
      <c r="H33" s="533"/>
      <c r="I33" s="492"/>
    </row>
    <row r="34" spans="1:11" s="500" customFormat="1" x14ac:dyDescent="0.25">
      <c r="A34" s="533"/>
      <c r="B34" s="302"/>
      <c r="C34" s="391"/>
      <c r="D34" s="26"/>
      <c r="E34" s="26"/>
      <c r="F34" s="26"/>
      <c r="G34" s="47"/>
      <c r="H34" s="533"/>
      <c r="I34" s="492"/>
    </row>
    <row r="35" spans="1:11" s="500" customFormat="1" ht="15.75" x14ac:dyDescent="0.25">
      <c r="A35" s="533"/>
      <c r="B35" s="302"/>
      <c r="C35" s="1200" t="s">
        <v>700</v>
      </c>
      <c r="D35" s="1200"/>
      <c r="E35" s="1200"/>
      <c r="F35" s="1200"/>
      <c r="G35" s="47"/>
      <c r="H35" s="533"/>
      <c r="I35" s="492"/>
    </row>
    <row r="36" spans="1:11" s="500" customFormat="1" ht="15.75" x14ac:dyDescent="0.25">
      <c r="A36" s="533"/>
      <c r="B36" s="302"/>
      <c r="C36" s="546" t="s">
        <v>711</v>
      </c>
      <c r="D36" s="545"/>
      <c r="E36" s="544"/>
      <c r="F36" s="546" t="s">
        <v>710</v>
      </c>
      <c r="G36" s="47"/>
      <c r="H36" s="533"/>
      <c r="I36" s="294"/>
    </row>
    <row r="37" spans="1:11" x14ac:dyDescent="0.25">
      <c r="A37" s="533"/>
      <c r="B37" s="116"/>
      <c r="C37" s="348" t="s">
        <v>115</v>
      </c>
      <c r="D37" s="27">
        <f>(D17/(D20*D19))*(D9/D21)</f>
        <v>27.519779841761267</v>
      </c>
      <c r="E37" s="27">
        <f>(E17/(E20*E19))*(E9/E21)</f>
        <v>27.519779841761267</v>
      </c>
      <c r="F37" s="940">
        <f>(F17/(F20*F19))*(F9/F21)</f>
        <v>27.519779841761267</v>
      </c>
      <c r="G37" s="116"/>
      <c r="H37" s="533"/>
      <c r="I37" s="500"/>
      <c r="K37" s="500"/>
    </row>
    <row r="38" spans="1:11" s="500" customFormat="1" x14ac:dyDescent="0.25">
      <c r="A38" s="533"/>
      <c r="B38" s="116"/>
      <c r="C38" s="348" t="s">
        <v>116</v>
      </c>
      <c r="D38" s="27">
        <f>0.5*D9*(1-(D37/D9))^2/(1-(MIN(1,(D37/D9))*D21))</f>
        <v>34.914454474944911</v>
      </c>
      <c r="E38" s="27">
        <f>0.5*E9*(1-(E37/E9))^2/(1-(MIN(1,(E37/E9))*E21))</f>
        <v>34.914454474944911</v>
      </c>
      <c r="F38" s="940">
        <f>0.5*F9*(1-(F37/F9))^2/(1-(MIN(1,(F37/F9))*F21))</f>
        <v>34.914454474944911</v>
      </c>
      <c r="G38" s="116"/>
      <c r="H38" s="533"/>
    </row>
    <row r="39" spans="1:11" x14ac:dyDescent="0.25">
      <c r="A39" s="533"/>
      <c r="B39" s="116"/>
      <c r="C39" s="359" t="s">
        <v>88</v>
      </c>
      <c r="D39" s="27">
        <f>((D17*D10)*D22)/3600</f>
        <v>35.555555555555557</v>
      </c>
      <c r="E39" s="27">
        <f>((E17*E10)*E22)/3600</f>
        <v>35.555555555555557</v>
      </c>
      <c r="F39" s="940">
        <f>((F17*F10)*F22)/3600</f>
        <v>35.555555555555557</v>
      </c>
      <c r="G39" s="116"/>
      <c r="H39" s="533"/>
      <c r="I39" s="500"/>
    </row>
    <row r="40" spans="1:11" x14ac:dyDescent="0.25">
      <c r="A40" s="533"/>
      <c r="B40" s="302"/>
      <c r="C40" s="359" t="s">
        <v>89</v>
      </c>
      <c r="D40" s="27">
        <f>((D17*D10)*D38)/3600</f>
        <v>15.517535322197737</v>
      </c>
      <c r="E40" s="27">
        <f>((E17*E10)*E38)/3600</f>
        <v>15.517535322197737</v>
      </c>
      <c r="F40" s="940">
        <f>((F17*F10)*F38)/3600</f>
        <v>15.517535322197737</v>
      </c>
      <c r="G40"/>
      <c r="H40" s="533"/>
    </row>
    <row r="41" spans="1:11" x14ac:dyDescent="0.25">
      <c r="A41" s="533"/>
      <c r="B41" s="116"/>
      <c r="C41" s="359" t="s">
        <v>387</v>
      </c>
      <c r="D41" s="27">
        <f t="shared" ref="D41:F45" si="1">D$15*((D$39*(1-D$11)*D24)+(D$39*D$11*D29))</f>
        <v>1404257.0095038707</v>
      </c>
      <c r="E41" s="27">
        <f t="shared" si="1"/>
        <v>1249058.8456109588</v>
      </c>
      <c r="F41" s="941">
        <f>F$15*((F$39*(1-F$11)*F24)+(F$39*F$11*F29))</f>
        <v>1388737.1931145804</v>
      </c>
      <c r="G41" s="116"/>
      <c r="H41" s="533"/>
      <c r="I41" s="500"/>
    </row>
    <row r="42" spans="1:11" x14ac:dyDescent="0.25">
      <c r="A42" s="533"/>
      <c r="B42" s="302"/>
      <c r="C42" s="359" t="s">
        <v>633</v>
      </c>
      <c r="D42" s="27">
        <f t="shared" si="1"/>
        <v>2264.169041736473</v>
      </c>
      <c r="E42" s="27">
        <f t="shared" si="1"/>
        <v>828.42685938961972</v>
      </c>
      <c r="F42" s="941">
        <f t="shared" si="1"/>
        <v>2120.5948235018304</v>
      </c>
      <c r="G42"/>
      <c r="H42" s="533"/>
    </row>
    <row r="43" spans="1:11" x14ac:dyDescent="0.25">
      <c r="A43" s="533"/>
      <c r="B43" s="302"/>
      <c r="C43" s="359" t="s">
        <v>389</v>
      </c>
      <c r="D43" s="27">
        <f t="shared" si="1"/>
        <v>138.2950667917095</v>
      </c>
      <c r="E43" s="27">
        <f t="shared" si="1"/>
        <v>59.779209958790389</v>
      </c>
      <c r="F43" s="941">
        <f t="shared" si="1"/>
        <v>130.44348110841688</v>
      </c>
      <c r="G43"/>
      <c r="H43" s="533"/>
    </row>
    <row r="44" spans="1:11" x14ac:dyDescent="0.25">
      <c r="A44" s="533"/>
      <c r="B44" s="302"/>
      <c r="C44" s="359" t="s">
        <v>634</v>
      </c>
      <c r="D44" s="27">
        <f t="shared" si="1"/>
        <v>3053.444750676601</v>
      </c>
      <c r="E44" s="27">
        <f t="shared" si="1"/>
        <v>1340.466313537403</v>
      </c>
      <c r="F44" s="941">
        <f t="shared" si="1"/>
        <v>2882.1469069626555</v>
      </c>
      <c r="G44"/>
      <c r="H44" s="533"/>
    </row>
    <row r="45" spans="1:11" x14ac:dyDescent="0.25">
      <c r="A45" s="533"/>
      <c r="B45" s="302"/>
      <c r="C45" s="359" t="s">
        <v>388</v>
      </c>
      <c r="D45" s="27">
        <f t="shared" si="1"/>
        <v>1145.0552099823722</v>
      </c>
      <c r="E45" s="27">
        <f t="shared" si="1"/>
        <v>296.63617887586378</v>
      </c>
      <c r="F45" s="941">
        <f t="shared" si="1"/>
        <v>1060.2133068717044</v>
      </c>
      <c r="G45"/>
      <c r="H45" s="533"/>
    </row>
    <row r="46" spans="1:11" x14ac:dyDescent="0.25">
      <c r="A46" s="533"/>
      <c r="B46" s="302"/>
      <c r="C46" s="359" t="s">
        <v>390</v>
      </c>
      <c r="D46" s="27">
        <f t="shared" ref="D46:F50" si="2">D$15*((D$40*(1-D$11)*D24)+(D$40*D$11*D29))</f>
        <v>612860.84286806476</v>
      </c>
      <c r="E46" s="27">
        <f t="shared" si="2"/>
        <v>545127.60252013826</v>
      </c>
      <c r="F46" s="941">
        <f t="shared" si="2"/>
        <v>606087.51883327239</v>
      </c>
      <c r="G46"/>
      <c r="H46" s="533"/>
    </row>
    <row r="47" spans="1:11" x14ac:dyDescent="0.25">
      <c r="A47" s="533"/>
      <c r="B47" s="302"/>
      <c r="C47" s="359" t="s">
        <v>635</v>
      </c>
      <c r="D47" s="27">
        <f t="shared" si="2"/>
        <v>988.15283664109654</v>
      </c>
      <c r="E47" s="27">
        <f t="shared" si="2"/>
        <v>361.55089834975581</v>
      </c>
      <c r="F47" s="941">
        <f t="shared" si="2"/>
        <v>925.49264281198111</v>
      </c>
      <c r="G47"/>
      <c r="H47" s="533"/>
    </row>
    <row r="48" spans="1:11" x14ac:dyDescent="0.25">
      <c r="A48" s="533"/>
      <c r="B48" s="302"/>
      <c r="C48" s="359" t="s">
        <v>392</v>
      </c>
      <c r="D48" s="27">
        <f t="shared" si="2"/>
        <v>60.35621017010758</v>
      </c>
      <c r="E48" s="27">
        <f t="shared" si="2"/>
        <v>26.089481308179501</v>
      </c>
      <c r="F48" s="941">
        <f t="shared" si="2"/>
        <v>56.929537283914456</v>
      </c>
      <c r="G48"/>
      <c r="H48" s="533"/>
    </row>
    <row r="49" spans="1:9" x14ac:dyDescent="0.25">
      <c r="A49" s="533"/>
      <c r="B49" s="302"/>
      <c r="C49" s="359" t="s">
        <v>636</v>
      </c>
      <c r="D49" s="27">
        <f t="shared" si="2"/>
        <v>1332.6169717407211</v>
      </c>
      <c r="E49" s="27">
        <f t="shared" si="2"/>
        <v>585.020625989986</v>
      </c>
      <c r="F49" s="941">
        <f t="shared" si="2"/>
        <v>1257.8573371656366</v>
      </c>
      <c r="G49"/>
      <c r="H49" s="533"/>
    </row>
    <row r="50" spans="1:9" x14ac:dyDescent="0.25">
      <c r="A50" s="533"/>
      <c r="B50" s="302"/>
      <c r="C50" s="359" t="s">
        <v>391</v>
      </c>
      <c r="D50" s="27">
        <f t="shared" si="2"/>
        <v>499.73722500285021</v>
      </c>
      <c r="E50" s="27">
        <f t="shared" si="2"/>
        <v>129.46112953728701</v>
      </c>
      <c r="F50" s="941">
        <f t="shared" si="2"/>
        <v>462.70961545628643</v>
      </c>
      <c r="G50"/>
      <c r="H50" s="533"/>
    </row>
    <row r="51" spans="1:9" x14ac:dyDescent="0.25">
      <c r="A51" s="547"/>
      <c r="B51" s="302"/>
      <c r="C51" s="29"/>
      <c r="D51" s="58"/>
      <c r="E51" s="58"/>
      <c r="F51" s="58"/>
      <c r="G51" s="302"/>
      <c r="H51" s="547"/>
    </row>
    <row r="52" spans="1:9" ht="15.75" x14ac:dyDescent="0.25">
      <c r="A52" s="547"/>
      <c r="B52" s="302"/>
      <c r="C52" s="1197" t="s">
        <v>701</v>
      </c>
      <c r="D52" s="1197"/>
      <c r="E52" s="1197"/>
      <c r="F52" s="1197"/>
      <c r="G52" s="302"/>
      <c r="H52" s="547"/>
    </row>
    <row r="53" spans="1:9" ht="15.75" thickBot="1" x14ac:dyDescent="0.3">
      <c r="A53" s="533"/>
      <c r="B53" s="302"/>
      <c r="C53" s="548" t="s">
        <v>990</v>
      </c>
      <c r="D53" s="548"/>
      <c r="E53" s="548"/>
      <c r="F53" s="548"/>
      <c r="G53"/>
      <c r="H53" s="533"/>
    </row>
    <row r="54" spans="1:9" ht="15.75" thickBot="1" x14ac:dyDescent="0.3">
      <c r="A54" s="533"/>
      <c r="B54" s="302"/>
      <c r="C54" s="470" t="s">
        <v>124</v>
      </c>
      <c r="D54" s="81">
        <f>(D39*D15*D16)-(D40*D15*D16)</f>
        <v>50095.050583394543</v>
      </c>
      <c r="E54" s="81">
        <f>(E39*E15*E16)-(E40*E15*E16)</f>
        <v>50095.050583394543</v>
      </c>
      <c r="F54" s="942">
        <f>(F39*F15*F16)-(F40*F15*F16)</f>
        <v>50095.050583394543</v>
      </c>
      <c r="G54"/>
      <c r="H54" s="533"/>
    </row>
    <row r="55" spans="1:9" ht="15.75" thickBot="1" x14ac:dyDescent="0.3">
      <c r="A55" s="741"/>
      <c r="B55" s="1001"/>
      <c r="C55" s="508" t="s">
        <v>52</v>
      </c>
      <c r="D55" s="1068" t="s">
        <v>360</v>
      </c>
      <c r="E55" s="1068" t="s">
        <v>360</v>
      </c>
      <c r="F55" s="1068" t="s">
        <v>360</v>
      </c>
      <c r="G55" s="1001"/>
      <c r="H55" s="741"/>
    </row>
    <row r="56" spans="1:9" x14ac:dyDescent="0.25">
      <c r="A56" s="549"/>
      <c r="B56" s="302"/>
      <c r="C56" s="83"/>
      <c r="D56" s="536"/>
      <c r="E56" s="536"/>
      <c r="F56" s="541"/>
      <c r="G56" s="302"/>
      <c r="H56" s="549"/>
    </row>
    <row r="57" spans="1:9" ht="15.75" thickBot="1" x14ac:dyDescent="0.3">
      <c r="A57" s="533"/>
      <c r="B57" s="302"/>
      <c r="C57" s="560" t="s">
        <v>724</v>
      </c>
      <c r="D57" s="58"/>
      <c r="E57" s="58"/>
      <c r="F57" s="58"/>
      <c r="G57"/>
      <c r="H57" s="533"/>
      <c r="I57" s="364"/>
    </row>
    <row r="58" spans="1:9" ht="15.75" thickBot="1" x14ac:dyDescent="0.3">
      <c r="A58" s="533"/>
      <c r="B58" s="332"/>
      <c r="C58" s="329" t="s">
        <v>817</v>
      </c>
      <c r="D58" s="59">
        <f>(D41-D46)*D16</f>
        <v>197849041.65895149</v>
      </c>
      <c r="E58" s="59">
        <f t="shared" ref="D58:E62" si="3">(E41-E46)*E16</f>
        <v>175982810.77270514</v>
      </c>
      <c r="F58" s="944">
        <f>(F41-F46)*F$16</f>
        <v>195662418.57032698</v>
      </c>
      <c r="G58"/>
      <c r="H58" s="533"/>
    </row>
    <row r="59" spans="1:9" ht="15.75" thickBot="1" x14ac:dyDescent="0.3">
      <c r="A59" s="533"/>
      <c r="B59" s="332"/>
      <c r="C59" s="330" t="s">
        <v>818</v>
      </c>
      <c r="D59" s="59">
        <f t="shared" si="3"/>
        <v>510406.48203815054</v>
      </c>
      <c r="E59" s="59">
        <f t="shared" si="3"/>
        <v>186750.38441594556</v>
      </c>
      <c r="F59" s="945">
        <f>(F42-F47)*F$16</f>
        <v>298775.54517246236</v>
      </c>
      <c r="G59"/>
      <c r="H59" s="533"/>
    </row>
    <row r="60" spans="1:9" ht="15.75" thickBot="1" x14ac:dyDescent="0.3">
      <c r="A60" s="533"/>
      <c r="B60" s="332"/>
      <c r="C60" s="330" t="s">
        <v>819</v>
      </c>
      <c r="D60" s="59">
        <f t="shared" si="3"/>
        <v>38.969428310800964</v>
      </c>
      <c r="E60" s="59">
        <f t="shared" si="3"/>
        <v>16.844864325305444</v>
      </c>
      <c r="F60" s="945">
        <f>(F43-F48)*F$16</f>
        <v>18378.485956125605</v>
      </c>
      <c r="G60"/>
      <c r="H60" s="533"/>
    </row>
    <row r="61" spans="1:9" ht="15.75" thickBot="1" x14ac:dyDescent="0.3">
      <c r="A61" s="533"/>
      <c r="B61" s="332"/>
      <c r="C61" s="330" t="s">
        <v>820</v>
      </c>
      <c r="D61" s="59">
        <f t="shared" si="3"/>
        <v>2925407.224190996</v>
      </c>
      <c r="E61" s="59">
        <f t="shared" si="3"/>
        <v>1284257.6688306089</v>
      </c>
      <c r="F61" s="945">
        <f>(F44-F49)*F$16</f>
        <v>406072.39244925469</v>
      </c>
      <c r="G61"/>
      <c r="H61" s="533"/>
    </row>
    <row r="62" spans="1:9" ht="15.75" thickBot="1" x14ac:dyDescent="0.3">
      <c r="A62" s="533"/>
      <c r="B62" s="332"/>
      <c r="C62" s="330" t="s">
        <v>821</v>
      </c>
      <c r="D62" s="59">
        <f t="shared" si="3"/>
        <v>613.05208573054585</v>
      </c>
      <c r="E62" s="59">
        <f t="shared" si="3"/>
        <v>158.81629687164792</v>
      </c>
      <c r="F62" s="943">
        <f>(F45-F50)*F$16</f>
        <v>149375.92285385448</v>
      </c>
      <c r="G62"/>
      <c r="H62" s="533"/>
    </row>
    <row r="63" spans="1:9" x14ac:dyDescent="0.25">
      <c r="A63" s="549"/>
      <c r="B63" s="332"/>
      <c r="C63" s="329" t="s">
        <v>974</v>
      </c>
      <c r="D63" s="506"/>
      <c r="E63" s="552"/>
      <c r="F63" s="946">
        <f>(F58*0.00000110231)/$F$16</f>
        <v>0.86272256245702861</v>
      </c>
      <c r="G63" s="302"/>
      <c r="H63" s="549"/>
    </row>
    <row r="64" spans="1:9" x14ac:dyDescent="0.25">
      <c r="A64" s="549"/>
      <c r="B64" s="332"/>
      <c r="C64" s="330" t="s">
        <v>975</v>
      </c>
      <c r="D64" s="550"/>
      <c r="E64" s="525"/>
      <c r="F64" s="691">
        <f t="shared" ref="F64:F67" si="4">(F59*0.00000110231)/$F$16</f>
        <v>1.3173730847962279E-3</v>
      </c>
      <c r="G64" s="302"/>
      <c r="H64" s="549"/>
    </row>
    <row r="65" spans="1:8" x14ac:dyDescent="0.25">
      <c r="A65" s="549"/>
      <c r="B65" s="332"/>
      <c r="C65" s="330" t="s">
        <v>976</v>
      </c>
      <c r="D65" s="550"/>
      <c r="E65" s="525"/>
      <c r="F65" s="691">
        <f t="shared" si="4"/>
        <v>8.1035155417187271E-5</v>
      </c>
      <c r="G65" s="302"/>
      <c r="H65" s="549"/>
    </row>
    <row r="66" spans="1:8" x14ac:dyDescent="0.25">
      <c r="A66" s="533"/>
      <c r="B66" s="970"/>
      <c r="C66" s="330" t="s">
        <v>977</v>
      </c>
      <c r="D66" s="550"/>
      <c r="E66" s="525"/>
      <c r="F66" s="691">
        <f t="shared" si="4"/>
        <v>1.7904706356829518E-3</v>
      </c>
      <c r="G66" s="532"/>
      <c r="H66" s="533"/>
    </row>
    <row r="67" spans="1:8" ht="12.75" customHeight="1" thickBot="1" x14ac:dyDescent="0.3">
      <c r="A67" s="561"/>
      <c r="B67" s="332"/>
      <c r="C67" s="331" t="s">
        <v>978</v>
      </c>
      <c r="D67" s="551"/>
      <c r="E67" s="527"/>
      <c r="F67" s="691">
        <f t="shared" si="4"/>
        <v>6.586342940841294E-4</v>
      </c>
      <c r="G67"/>
      <c r="H67" s="561"/>
    </row>
    <row r="68" spans="1:8" ht="15.75" x14ac:dyDescent="0.3">
      <c r="A68" s="561"/>
      <c r="B68" s="302"/>
      <c r="C68" s="479"/>
      <c r="D68" s="479"/>
      <c r="E68" s="47"/>
      <c r="F68" s="472"/>
      <c r="G68"/>
      <c r="H68" s="561"/>
    </row>
    <row r="69" spans="1:8" x14ac:dyDescent="0.25">
      <c r="A69" s="533"/>
      <c r="B69" s="533"/>
      <c r="C69" s="533"/>
      <c r="D69" s="533"/>
      <c r="E69" s="533"/>
      <c r="F69" s="533"/>
      <c r="G69" s="533"/>
      <c r="H69" s="533"/>
    </row>
    <row r="70" spans="1:8" x14ac:dyDescent="0.25">
      <c r="C70" s="482"/>
      <c r="D70" s="526"/>
    </row>
    <row r="71" spans="1:8" x14ac:dyDescent="0.25">
      <c r="C71" s="482"/>
      <c r="D71" s="526"/>
    </row>
    <row r="72" spans="1:8" ht="16.5" x14ac:dyDescent="0.3">
      <c r="C72" s="517"/>
      <c r="D72" s="512"/>
    </row>
  </sheetData>
  <mergeCells count="5">
    <mergeCell ref="C3:F3"/>
    <mergeCell ref="C5:F5"/>
    <mergeCell ref="C13:F13"/>
    <mergeCell ref="C35:F35"/>
    <mergeCell ref="C52:F52"/>
  </mergeCell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OtherVariables!$I$121:$I$131</xm:f>
          </x14:formula1>
          <xm:sqref>F7</xm:sqref>
        </x14:dataValidation>
        <x14:dataValidation type="list" allowBlank="1" showInputMessage="1" showErrorMessage="1">
          <x14:formula1>
            <xm:f>OtherVariables!$G$80:$G$81</xm:f>
          </x14:formula1>
          <xm:sqref>D8:F8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Y79"/>
  <sheetViews>
    <sheetView showGridLines="0" zoomScale="80" zoomScaleNormal="80" workbookViewId="0">
      <selection activeCell="I62" sqref="I62"/>
    </sheetView>
  </sheetViews>
  <sheetFormatPr defaultRowHeight="15" x14ac:dyDescent="0.25"/>
  <cols>
    <col min="1" max="2" width="2.28515625" style="294" customWidth="1"/>
    <col min="3" max="3" width="70.42578125" style="294" customWidth="1"/>
    <col min="4" max="4" width="23" style="294" hidden="1" customWidth="1"/>
    <col min="5" max="5" width="27.7109375" style="501" hidden="1" customWidth="1"/>
    <col min="6" max="6" width="23" style="501" bestFit="1" customWidth="1"/>
    <col min="7" max="8" width="2.28515625" style="294" customWidth="1"/>
    <col min="9" max="9" width="14.7109375" style="744" customWidth="1"/>
    <col min="10" max="11" width="9.140625" style="744"/>
    <col min="12" max="12" width="9.140625" style="744" customWidth="1"/>
    <col min="13" max="13" width="42.42578125" style="744" bestFit="1" customWidth="1"/>
    <col min="14" max="24" width="9.140625" style="744"/>
    <col min="25" max="16384" width="9.140625" style="294"/>
  </cols>
  <sheetData>
    <row r="1" spans="1:25" ht="12" customHeight="1" x14ac:dyDescent="0.25">
      <c r="A1" s="301"/>
      <c r="B1" s="301"/>
      <c r="C1" s="301"/>
      <c r="D1" s="301"/>
      <c r="E1" s="301"/>
      <c r="F1" s="301"/>
      <c r="G1" s="301"/>
      <c r="H1" s="301"/>
    </row>
    <row r="2" spans="1:25" ht="12" customHeight="1" x14ac:dyDescent="0.25">
      <c r="A2" s="301"/>
      <c r="B2" s="302"/>
      <c r="C2" s="302"/>
      <c r="D2" s="302"/>
      <c r="E2" s="302"/>
      <c r="F2" s="302"/>
      <c r="G2" s="302"/>
      <c r="H2" s="301"/>
    </row>
    <row r="3" spans="1:25" ht="26.25" x14ac:dyDescent="0.25">
      <c r="A3" s="301"/>
      <c r="B3" s="302"/>
      <c r="C3" s="1203" t="s">
        <v>728</v>
      </c>
      <c r="D3" s="1203"/>
      <c r="E3" s="1203"/>
      <c r="F3" s="1203"/>
      <c r="G3" s="447"/>
      <c r="H3" s="393"/>
      <c r="I3" s="1147"/>
      <c r="J3" s="1148"/>
      <c r="Y3" s="445"/>
    </row>
    <row r="4" spans="1:25" ht="10.5" customHeight="1" x14ac:dyDescent="0.25">
      <c r="A4" s="301"/>
      <c r="B4" s="302"/>
      <c r="C4" s="382"/>
      <c r="D4" s="382"/>
      <c r="E4" s="382"/>
      <c r="F4" s="382"/>
      <c r="G4" s="447"/>
      <c r="H4" s="393"/>
      <c r="I4" s="1147"/>
      <c r="L4" s="1086"/>
      <c r="M4" s="1086"/>
      <c r="Y4" s="445"/>
    </row>
    <row r="5" spans="1:25" s="512" customFormat="1" ht="15.75" x14ac:dyDescent="0.25">
      <c r="A5" s="301"/>
      <c r="B5" s="302"/>
      <c r="C5" s="1202" t="s">
        <v>703</v>
      </c>
      <c r="D5" s="1202"/>
      <c r="E5" s="1202"/>
      <c r="F5" s="1202"/>
      <c r="G5" s="66"/>
      <c r="H5" s="349"/>
      <c r="I5" s="1149"/>
      <c r="J5" s="744"/>
      <c r="K5" s="744"/>
      <c r="L5" s="1086"/>
      <c r="M5" s="1085"/>
      <c r="N5" s="744"/>
      <c r="O5" s="744"/>
      <c r="P5" s="744"/>
      <c r="Q5" s="744"/>
      <c r="R5" s="744"/>
      <c r="S5" s="744"/>
      <c r="T5" s="744"/>
      <c r="U5" s="744"/>
      <c r="V5" s="744"/>
      <c r="W5" s="744"/>
      <c r="X5" s="744"/>
      <c r="Y5" s="445"/>
    </row>
    <row r="6" spans="1:25" s="512" customFormat="1" ht="15.75" x14ac:dyDescent="0.25">
      <c r="A6" s="454"/>
      <c r="B6" s="296"/>
      <c r="C6" s="449" t="s">
        <v>711</v>
      </c>
      <c r="D6" s="450"/>
      <c r="E6" s="450"/>
      <c r="F6" s="449" t="s">
        <v>720</v>
      </c>
      <c r="G6" s="448"/>
      <c r="H6" s="451"/>
      <c r="I6" s="513"/>
      <c r="J6" s="744"/>
      <c r="K6" s="1116"/>
      <c r="L6" s="1116"/>
      <c r="M6" s="1086"/>
      <c r="N6" s="1085"/>
      <c r="O6" s="744"/>
      <c r="P6" s="744"/>
      <c r="Q6" s="744"/>
      <c r="R6" s="744"/>
      <c r="S6" s="744"/>
      <c r="T6" s="744"/>
      <c r="U6" s="744"/>
      <c r="V6" s="744"/>
      <c r="W6" s="744"/>
      <c r="X6" s="744"/>
      <c r="Y6" s="445"/>
    </row>
    <row r="7" spans="1:25" s="512" customFormat="1" x14ac:dyDescent="0.25">
      <c r="A7" s="454"/>
      <c r="B7" s="296"/>
      <c r="C7" s="466" t="s">
        <v>726</v>
      </c>
      <c r="D7" s="200">
        <v>2010</v>
      </c>
      <c r="E7" s="200">
        <v>2020</v>
      </c>
      <c r="F7" s="442">
        <v>2011</v>
      </c>
      <c r="G7" s="7"/>
      <c r="H7" s="452"/>
      <c r="I7" s="744"/>
      <c r="J7" s="744"/>
      <c r="K7" s="1116"/>
      <c r="L7" s="1116"/>
      <c r="M7" s="1086"/>
      <c r="N7" s="1085"/>
      <c r="O7" s="744"/>
      <c r="P7" s="744"/>
      <c r="Q7" s="744"/>
      <c r="R7" s="744"/>
      <c r="S7" s="744"/>
      <c r="T7" s="744"/>
      <c r="U7" s="744"/>
      <c r="V7" s="744"/>
      <c r="W7" s="744"/>
      <c r="X7" s="744"/>
      <c r="Y7" s="445"/>
    </row>
    <row r="8" spans="1:25" s="512" customFormat="1" ht="15.75" thickBot="1" x14ac:dyDescent="0.3">
      <c r="A8" s="454"/>
      <c r="B8" s="296"/>
      <c r="C8" s="443" t="s">
        <v>27</v>
      </c>
      <c r="D8" s="84" t="s">
        <v>235</v>
      </c>
      <c r="E8" s="84" t="s">
        <v>235</v>
      </c>
      <c r="F8" s="84" t="s">
        <v>235</v>
      </c>
      <c r="G8" s="47"/>
      <c r="H8" s="453"/>
      <c r="I8" s="744"/>
      <c r="J8" s="744"/>
      <c r="K8" s="1116"/>
      <c r="L8" s="1116"/>
      <c r="M8" s="1086"/>
      <c r="N8" s="1085"/>
      <c r="O8" s="744"/>
      <c r="P8" s="744"/>
      <c r="Q8" s="744"/>
      <c r="R8" s="744"/>
      <c r="S8" s="744"/>
      <c r="T8" s="744"/>
      <c r="U8" s="744"/>
      <c r="V8" s="744"/>
      <c r="W8" s="744"/>
      <c r="X8" s="744"/>
      <c r="Y8" s="445"/>
    </row>
    <row r="9" spans="1:25" s="512" customFormat="1" x14ac:dyDescent="0.25">
      <c r="A9" s="454"/>
      <c r="B9" s="28"/>
      <c r="C9" s="475" t="s">
        <v>128</v>
      </c>
      <c r="D9" s="474" t="s">
        <v>228</v>
      </c>
      <c r="E9" s="474" t="s">
        <v>228</v>
      </c>
      <c r="F9" s="474" t="s">
        <v>228</v>
      </c>
      <c r="G9" s="47"/>
      <c r="H9" s="453"/>
      <c r="I9" s="744"/>
      <c r="J9" s="744"/>
      <c r="K9" s="1116"/>
      <c r="L9" s="1116"/>
      <c r="M9" s="1086"/>
      <c r="N9" s="1085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445"/>
    </row>
    <row r="10" spans="1:25" s="512" customFormat="1" ht="15.75" thickBot="1" x14ac:dyDescent="0.3">
      <c r="A10" s="454"/>
      <c r="B10" s="28"/>
      <c r="C10" s="494" t="s">
        <v>132</v>
      </c>
      <c r="D10" s="486">
        <v>3</v>
      </c>
      <c r="E10" s="486">
        <v>3</v>
      </c>
      <c r="F10" s="486">
        <v>3</v>
      </c>
      <c r="G10" s="39"/>
      <c r="H10" s="453"/>
      <c r="I10" s="744"/>
      <c r="J10" s="744"/>
      <c r="K10" s="1116"/>
      <c r="L10" s="1116"/>
      <c r="M10" s="1086"/>
      <c r="N10" s="1085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445"/>
    </row>
    <row r="11" spans="1:25" s="512" customFormat="1" x14ac:dyDescent="0.25">
      <c r="A11" s="454"/>
      <c r="B11" s="28"/>
      <c r="C11" s="475" t="s">
        <v>130</v>
      </c>
      <c r="D11" s="474" t="s">
        <v>231</v>
      </c>
      <c r="E11" s="474" t="s">
        <v>231</v>
      </c>
      <c r="F11" s="474" t="s">
        <v>231</v>
      </c>
      <c r="G11" s="47"/>
      <c r="H11" s="453"/>
      <c r="I11" s="744"/>
      <c r="J11" s="1116"/>
      <c r="K11" s="1116"/>
      <c r="L11" s="1086"/>
      <c r="M11" s="1085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445"/>
    </row>
    <row r="12" spans="1:25" s="512" customFormat="1" ht="15.75" thickBot="1" x14ac:dyDescent="0.3">
      <c r="A12" s="454"/>
      <c r="B12" s="28"/>
      <c r="C12" s="494" t="s">
        <v>133</v>
      </c>
      <c r="D12" s="486">
        <v>2</v>
      </c>
      <c r="E12" s="486">
        <v>2</v>
      </c>
      <c r="F12" s="486">
        <v>2</v>
      </c>
      <c r="G12" s="39"/>
      <c r="H12" s="454"/>
      <c r="I12" s="744"/>
      <c r="J12" s="1116"/>
      <c r="K12" s="1116"/>
      <c r="L12" s="1086"/>
      <c r="M12" s="744"/>
      <c r="N12" s="744"/>
      <c r="O12" s="744"/>
      <c r="P12" s="744"/>
      <c r="Q12" s="744"/>
      <c r="R12" s="744"/>
      <c r="S12" s="744"/>
      <c r="T12" s="744"/>
      <c r="U12" s="744"/>
      <c r="V12" s="744"/>
      <c r="W12" s="744"/>
      <c r="X12" s="744"/>
      <c r="Y12" s="445"/>
    </row>
    <row r="13" spans="1:25" s="512" customFormat="1" x14ac:dyDescent="0.25">
      <c r="A13" s="454"/>
      <c r="B13" s="296"/>
      <c r="C13" s="471" t="s">
        <v>134</v>
      </c>
      <c r="D13" s="481">
        <v>3.5</v>
      </c>
      <c r="E13" s="481">
        <v>3.5</v>
      </c>
      <c r="F13" s="481">
        <v>3.5</v>
      </c>
      <c r="G13" s="12"/>
      <c r="H13" s="454"/>
      <c r="I13" s="744"/>
      <c r="J13" s="1116"/>
      <c r="K13" s="1116"/>
      <c r="L13" s="1086"/>
      <c r="M13" s="744"/>
      <c r="N13" s="744"/>
      <c r="O13" s="744"/>
      <c r="P13" s="744"/>
      <c r="Q13" s="744"/>
      <c r="R13" s="744"/>
      <c r="S13" s="744"/>
      <c r="T13" s="744"/>
      <c r="U13" s="744"/>
      <c r="V13" s="744"/>
      <c r="W13" s="744"/>
      <c r="X13" s="744"/>
      <c r="Y13" s="445"/>
    </row>
    <row r="14" spans="1:25" s="512" customFormat="1" x14ac:dyDescent="0.25">
      <c r="A14" s="454"/>
      <c r="B14" s="296"/>
      <c r="C14" s="444" t="s">
        <v>135</v>
      </c>
      <c r="D14" s="193">
        <v>2.5</v>
      </c>
      <c r="E14" s="193">
        <v>2.5</v>
      </c>
      <c r="F14" s="193">
        <v>2.5</v>
      </c>
      <c r="G14" s="12"/>
      <c r="H14" s="454"/>
      <c r="I14" s="744"/>
      <c r="J14" s="1116"/>
      <c r="K14" s="1116"/>
      <c r="L14" s="1086"/>
      <c r="M14" s="744"/>
      <c r="N14" s="744"/>
      <c r="O14" s="744"/>
      <c r="P14" s="744"/>
      <c r="Q14" s="744"/>
      <c r="R14" s="744"/>
      <c r="S14" s="744"/>
      <c r="T14" s="744"/>
      <c r="U14" s="744"/>
      <c r="V14" s="744"/>
      <c r="W14" s="744"/>
      <c r="X14" s="744"/>
      <c r="Y14" s="445"/>
    </row>
    <row r="15" spans="1:25" s="512" customFormat="1" x14ac:dyDescent="0.25">
      <c r="A15" s="454"/>
      <c r="B15" s="296"/>
      <c r="C15" s="359" t="s">
        <v>75</v>
      </c>
      <c r="D15" s="36">
        <v>1400</v>
      </c>
      <c r="E15" s="36">
        <v>1400</v>
      </c>
      <c r="F15" s="36">
        <v>1400</v>
      </c>
      <c r="G15" s="12"/>
      <c r="H15" s="454"/>
      <c r="I15" s="744"/>
      <c r="J15" s="1116"/>
      <c r="K15" s="1116"/>
      <c r="L15" s="1086"/>
      <c r="M15" s="744"/>
      <c r="N15" s="744"/>
      <c r="O15" s="744"/>
      <c r="P15" s="744"/>
      <c r="Q15" s="744"/>
      <c r="R15" s="744"/>
      <c r="S15" s="744"/>
      <c r="T15" s="744"/>
      <c r="U15" s="744"/>
      <c r="V15" s="744"/>
      <c r="W15" s="744"/>
      <c r="X15" s="744"/>
      <c r="Y15" s="445"/>
    </row>
    <row r="16" spans="1:25" s="512" customFormat="1" x14ac:dyDescent="0.25">
      <c r="A16" s="454"/>
      <c r="B16" s="296"/>
      <c r="C16" s="359" t="s">
        <v>76</v>
      </c>
      <c r="D16" s="36">
        <v>900</v>
      </c>
      <c r="E16" s="36">
        <v>900</v>
      </c>
      <c r="F16" s="36">
        <v>900</v>
      </c>
      <c r="G16" s="12"/>
      <c r="H16" s="301"/>
      <c r="I16" s="744"/>
      <c r="J16" s="1116"/>
      <c r="K16" s="1116"/>
      <c r="L16" s="1086"/>
      <c r="M16" s="744"/>
      <c r="N16" s="744"/>
      <c r="O16" s="744"/>
      <c r="P16" s="744"/>
      <c r="Q16" s="744"/>
      <c r="R16" s="744"/>
      <c r="S16" s="744"/>
      <c r="T16" s="744"/>
      <c r="U16" s="744"/>
      <c r="V16" s="744"/>
      <c r="W16" s="744"/>
      <c r="X16" s="744"/>
      <c r="Y16" s="445"/>
    </row>
    <row r="17" spans="1:25" s="512" customFormat="1" x14ac:dyDescent="0.25">
      <c r="A17" s="454"/>
      <c r="B17" s="296"/>
      <c r="C17" s="348" t="s">
        <v>34</v>
      </c>
      <c r="D17" s="37">
        <v>0.05</v>
      </c>
      <c r="E17" s="37">
        <v>0.05</v>
      </c>
      <c r="F17" s="37">
        <v>0.05</v>
      </c>
      <c r="G17" s="12"/>
      <c r="H17" s="301"/>
      <c r="I17" s="744"/>
      <c r="J17" s="1116"/>
      <c r="K17" s="1116"/>
      <c r="L17" s="1086"/>
      <c r="M17" s="744"/>
      <c r="N17" s="744"/>
      <c r="O17" s="744"/>
      <c r="P17" s="744"/>
      <c r="Q17" s="744"/>
      <c r="R17" s="744"/>
      <c r="S17" s="744"/>
      <c r="T17" s="744"/>
      <c r="U17" s="744"/>
      <c r="V17" s="744"/>
      <c r="W17" s="744"/>
      <c r="X17" s="744"/>
      <c r="Y17" s="445"/>
    </row>
    <row r="18" spans="1:25" s="512" customFormat="1" x14ac:dyDescent="0.25">
      <c r="A18" s="454"/>
      <c r="B18" s="296"/>
      <c r="C18" s="348" t="s">
        <v>35</v>
      </c>
      <c r="D18" s="37">
        <v>7.0000000000000007E-2</v>
      </c>
      <c r="E18" s="37">
        <v>7.0000000000000007E-2</v>
      </c>
      <c r="F18" s="37">
        <v>7.0000000000000007E-2</v>
      </c>
      <c r="G18" s="12"/>
      <c r="H18" s="455"/>
      <c r="I18" s="744"/>
      <c r="J18" s="1116"/>
      <c r="K18" s="1116"/>
      <c r="L18" s="1086"/>
      <c r="M18" s="744"/>
      <c r="N18" s="744"/>
      <c r="O18" s="744"/>
      <c r="P18" s="744"/>
      <c r="Q18" s="744"/>
      <c r="R18" s="744"/>
      <c r="S18" s="744"/>
      <c r="T18" s="744"/>
      <c r="U18" s="744"/>
      <c r="V18" s="744"/>
      <c r="W18" s="744"/>
      <c r="X18" s="744"/>
      <c r="Y18" s="445"/>
    </row>
    <row r="19" spans="1:25" s="512" customFormat="1" x14ac:dyDescent="0.25">
      <c r="A19" s="454"/>
      <c r="B19" s="296"/>
      <c r="C19" s="467" t="s">
        <v>126</v>
      </c>
      <c r="D19" s="68">
        <v>100</v>
      </c>
      <c r="E19" s="68">
        <v>100</v>
      </c>
      <c r="F19" s="68">
        <v>100</v>
      </c>
      <c r="G19" s="19"/>
      <c r="H19" s="301"/>
      <c r="I19" s="744"/>
      <c r="J19" s="1116"/>
      <c r="K19" s="1116"/>
      <c r="L19" s="1086"/>
      <c r="M19" s="1086"/>
      <c r="N19" s="744"/>
      <c r="O19" s="744"/>
      <c r="P19" s="744"/>
      <c r="Q19" s="744"/>
      <c r="R19" s="744"/>
      <c r="S19" s="744"/>
      <c r="T19" s="744"/>
      <c r="U19" s="744"/>
      <c r="V19" s="744"/>
      <c r="W19" s="744"/>
      <c r="X19" s="744"/>
      <c r="Y19" s="445"/>
    </row>
    <row r="20" spans="1:25" s="512" customFormat="1" x14ac:dyDescent="0.25">
      <c r="A20" s="454"/>
      <c r="B20" s="296"/>
      <c r="C20" s="464"/>
      <c r="D20" s="465"/>
      <c r="E20" s="465"/>
      <c r="F20" s="465"/>
      <c r="G20" s="19"/>
      <c r="H20" s="301"/>
      <c r="I20" s="744"/>
      <c r="J20" s="1116"/>
      <c r="K20" s="1116"/>
      <c r="L20" s="1086"/>
      <c r="M20" s="1085"/>
      <c r="N20" s="744"/>
      <c r="O20" s="744"/>
      <c r="P20" s="744"/>
      <c r="Q20" s="744"/>
      <c r="R20" s="744"/>
      <c r="S20" s="744"/>
      <c r="T20" s="744"/>
      <c r="U20" s="744"/>
      <c r="V20" s="744"/>
      <c r="W20" s="744"/>
      <c r="X20" s="744"/>
      <c r="Y20" s="445"/>
    </row>
    <row r="21" spans="1:25" s="512" customFormat="1" ht="15.75" x14ac:dyDescent="0.25">
      <c r="A21" s="454"/>
      <c r="B21" s="296"/>
      <c r="C21" s="462" t="s">
        <v>702</v>
      </c>
      <c r="D21" s="462"/>
      <c r="E21" s="462"/>
      <c r="F21" s="462"/>
      <c r="G21" s="463"/>
      <c r="H21" s="462"/>
      <c r="I21" s="1150"/>
      <c r="J21" s="1116"/>
      <c r="K21" s="1116"/>
      <c r="L21" s="1086"/>
      <c r="M21" s="1085"/>
      <c r="N21" s="744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445"/>
    </row>
    <row r="22" spans="1:25" s="512" customFormat="1" ht="15.75" x14ac:dyDescent="0.25">
      <c r="A22" s="454"/>
      <c r="B22" s="296"/>
      <c r="C22" s="449" t="s">
        <v>1</v>
      </c>
      <c r="D22" s="450"/>
      <c r="E22" s="450"/>
      <c r="F22" s="449" t="s">
        <v>727</v>
      </c>
      <c r="G22" s="7"/>
      <c r="H22" s="455"/>
      <c r="I22" s="744"/>
      <c r="J22" s="744"/>
      <c r="K22" s="744"/>
      <c r="L22" s="1086"/>
      <c r="M22" s="1085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445"/>
    </row>
    <row r="23" spans="1:25" s="512" customFormat="1" x14ac:dyDescent="0.25">
      <c r="A23" s="454"/>
      <c r="B23" s="296"/>
      <c r="C23" s="379" t="s">
        <v>69</v>
      </c>
      <c r="D23" s="20">
        <v>10</v>
      </c>
      <c r="E23" s="20">
        <v>10</v>
      </c>
      <c r="F23" s="938">
        <v>10</v>
      </c>
      <c r="G23" s="7"/>
      <c r="H23" s="456"/>
      <c r="I23" s="744"/>
      <c r="J23" s="744"/>
      <c r="K23" s="744"/>
      <c r="L23" s="1086"/>
      <c r="M23" s="1085"/>
      <c r="N23" s="744"/>
      <c r="O23" s="744"/>
      <c r="P23" s="744"/>
      <c r="Q23" s="744"/>
      <c r="R23" s="744"/>
      <c r="S23" s="744"/>
      <c r="T23" s="744"/>
      <c r="U23" s="744"/>
      <c r="V23" s="744"/>
      <c r="W23" s="744"/>
      <c r="X23" s="744"/>
      <c r="Y23" s="445"/>
    </row>
    <row r="24" spans="1:25" s="512" customFormat="1" x14ac:dyDescent="0.25">
      <c r="A24" s="454"/>
      <c r="B24" s="296"/>
      <c r="C24" s="379" t="s">
        <v>71</v>
      </c>
      <c r="D24" s="20">
        <v>250</v>
      </c>
      <c r="E24" s="20">
        <v>250</v>
      </c>
      <c r="F24" s="938">
        <v>250</v>
      </c>
      <c r="G24" s="7"/>
      <c r="H24" s="454"/>
      <c r="I24" s="744"/>
      <c r="J24" s="744"/>
      <c r="K24" s="744"/>
      <c r="L24" s="1086"/>
      <c r="M24" s="1085"/>
      <c r="N24" s="1116"/>
      <c r="O24" s="744"/>
      <c r="P24" s="744"/>
      <c r="Q24" s="744"/>
      <c r="R24" s="744"/>
      <c r="S24" s="744"/>
      <c r="T24" s="744"/>
      <c r="U24" s="744"/>
      <c r="V24" s="744"/>
      <c r="W24" s="744"/>
      <c r="X24" s="744"/>
      <c r="Y24" s="445"/>
    </row>
    <row r="25" spans="1:25" x14ac:dyDescent="0.25">
      <c r="A25" s="454"/>
      <c r="B25" s="296"/>
      <c r="C25" s="379" t="s">
        <v>85</v>
      </c>
      <c r="D25" s="20">
        <v>0.5</v>
      </c>
      <c r="E25" s="20">
        <v>0.5</v>
      </c>
      <c r="F25" s="938">
        <v>0.5</v>
      </c>
      <c r="G25" s="7"/>
      <c r="H25" s="457"/>
      <c r="I25" s="1117"/>
      <c r="L25" s="1116"/>
      <c r="N25" s="1116"/>
      <c r="Y25" s="445"/>
    </row>
    <row r="26" spans="1:25" x14ac:dyDescent="0.25">
      <c r="A26" s="454"/>
      <c r="B26" s="296"/>
      <c r="C26" s="83" t="s">
        <v>2</v>
      </c>
      <c r="D26" s="489"/>
      <c r="E26" s="489"/>
      <c r="F26" s="1018"/>
      <c r="G26" s="26"/>
      <c r="H26" s="457"/>
      <c r="N26" s="1116"/>
      <c r="Y26" s="445"/>
    </row>
    <row r="27" spans="1:25" x14ac:dyDescent="0.25">
      <c r="A27" s="301"/>
      <c r="B27" s="302"/>
      <c r="C27" s="362" t="s">
        <v>413</v>
      </c>
      <c r="D27" s="14">
        <f>'2010ER'!AB4</f>
        <v>3750.9003016633078</v>
      </c>
      <c r="E27" s="14">
        <f>'2020ER'!AB4</f>
        <v>3291.8135998721814</v>
      </c>
      <c r="F27" s="1015">
        <f>TREND(D27:E27,$D$7:$E$7,$F$7)</f>
        <v>3704.9916314841976</v>
      </c>
      <c r="G27" s="26"/>
      <c r="H27" s="301"/>
      <c r="Y27" s="445"/>
    </row>
    <row r="28" spans="1:25" x14ac:dyDescent="0.25">
      <c r="A28" s="301"/>
      <c r="B28" s="302"/>
      <c r="C28" s="362" t="s">
        <v>417</v>
      </c>
      <c r="D28" s="14">
        <f>'2010ER'!AB5</f>
        <v>2.9522376685274958</v>
      </c>
      <c r="E28" s="14">
        <f>'2020ER'!AB5</f>
        <v>0.93910805035104805</v>
      </c>
      <c r="F28" s="1015">
        <f t="shared" ref="F28:F36" si="0">TREND(D28:E28,$D$7:$E$7,$F$7)</f>
        <v>2.7509247067098954</v>
      </c>
      <c r="G28" s="7"/>
      <c r="H28" s="301"/>
      <c r="Y28" s="445"/>
    </row>
    <row r="29" spans="1:25" x14ac:dyDescent="0.25">
      <c r="A29" s="301"/>
      <c r="B29" s="302"/>
      <c r="C29" s="362" t="s">
        <v>416</v>
      </c>
      <c r="D29" s="14">
        <f>'2010ER'!AB6</f>
        <v>0.19839204428158921</v>
      </c>
      <c r="E29" s="14">
        <f>'2020ER'!AB6</f>
        <v>8.6560978266842434E-2</v>
      </c>
      <c r="F29" s="1015">
        <f t="shared" si="0"/>
        <v>0.18720893768011138</v>
      </c>
      <c r="G29" s="7"/>
      <c r="H29" s="458"/>
      <c r="Y29" s="445"/>
    </row>
    <row r="30" spans="1:25" x14ac:dyDescent="0.25">
      <c r="A30" s="301"/>
      <c r="B30" s="302"/>
      <c r="C30" s="362" t="s">
        <v>415</v>
      </c>
      <c r="D30" s="14">
        <f>'2010ER'!AB7</f>
        <v>5.755505625407392</v>
      </c>
      <c r="E30" s="14">
        <f>'2020ER'!AB7</f>
        <v>2.5860206751293329</v>
      </c>
      <c r="F30" s="1015">
        <f t="shared" si="0"/>
        <v>5.4385571303795359</v>
      </c>
      <c r="G30"/>
      <c r="H30" s="458"/>
      <c r="L30" s="1118"/>
      <c r="M30" s="1119"/>
      <c r="O30" s="1118"/>
      <c r="P30" s="1119"/>
      <c r="Y30" s="445"/>
    </row>
    <row r="31" spans="1:25" s="492" customFormat="1" x14ac:dyDescent="0.25">
      <c r="A31" s="301"/>
      <c r="B31" s="302"/>
      <c r="C31" s="362" t="s">
        <v>414</v>
      </c>
      <c r="D31" s="14">
        <f>'2010ER'!AB8</f>
        <v>2.7543105969503339</v>
      </c>
      <c r="E31" s="14">
        <f>'2020ER'!AB8</f>
        <v>0.61583922156998427</v>
      </c>
      <c r="F31" s="1015">
        <f t="shared" si="0"/>
        <v>2.5404634594122513</v>
      </c>
      <c r="G31"/>
      <c r="H31" s="458"/>
      <c r="I31" s="744"/>
      <c r="J31" s="923"/>
      <c r="K31" s="1120"/>
      <c r="L31" s="1118"/>
      <c r="M31" s="1119"/>
      <c r="N31" s="744"/>
      <c r="O31" s="1118"/>
      <c r="P31" s="1119"/>
      <c r="Q31" s="923"/>
      <c r="R31" s="923"/>
      <c r="S31" s="923"/>
      <c r="T31" s="923"/>
      <c r="U31" s="923"/>
      <c r="V31" s="923"/>
      <c r="W31" s="923"/>
      <c r="X31" s="923"/>
      <c r="Y31" s="446"/>
    </row>
    <row r="32" spans="1:25" x14ac:dyDescent="0.25">
      <c r="A32" s="301"/>
      <c r="B32" s="302"/>
      <c r="C32" s="363" t="s">
        <v>418</v>
      </c>
      <c r="D32" s="207">
        <f>'2010ER'!AL4</f>
        <v>7722.351052989884</v>
      </c>
      <c r="E32" s="207">
        <f>'2020ER'!AL4</f>
        <v>7715.1016680449866</v>
      </c>
      <c r="F32" s="1015">
        <f t="shared" si="0"/>
        <v>7721.6261144953942</v>
      </c>
      <c r="G32"/>
      <c r="H32" s="458"/>
      <c r="L32" s="1118"/>
      <c r="M32" s="1119"/>
      <c r="N32" s="923"/>
      <c r="O32" s="1118"/>
      <c r="P32" s="1119"/>
      <c r="Y32" s="445"/>
    </row>
    <row r="33" spans="1:25" x14ac:dyDescent="0.25">
      <c r="A33" s="459"/>
      <c r="B33" s="71"/>
      <c r="C33" s="363" t="s">
        <v>422</v>
      </c>
      <c r="D33" s="207">
        <f>'2010ER'!AL5</f>
        <v>71.266992895654184</v>
      </c>
      <c r="E33" s="207">
        <f>'2020ER'!AL5</f>
        <v>28.755957883996196</v>
      </c>
      <c r="F33" s="1015">
        <f t="shared" si="0"/>
        <v>67.015889394489932</v>
      </c>
      <c r="G33"/>
      <c r="H33" s="459"/>
      <c r="I33" s="923"/>
      <c r="L33" s="1118"/>
      <c r="M33" s="1121"/>
      <c r="O33" s="1118"/>
      <c r="P33" s="1121"/>
      <c r="Y33" s="445"/>
    </row>
    <row r="34" spans="1:25" x14ac:dyDescent="0.25">
      <c r="A34" s="301"/>
      <c r="B34" s="302"/>
      <c r="C34" s="363" t="s">
        <v>421</v>
      </c>
      <c r="D34" s="207">
        <f>'2010ER'!AL6</f>
        <v>4.0096486656834633</v>
      </c>
      <c r="E34" s="207">
        <f>'2020ER'!AL6</f>
        <v>1.7179219731119526</v>
      </c>
      <c r="F34" s="1015">
        <f t="shared" si="0"/>
        <v>3.7804759964263326</v>
      </c>
      <c r="G34" s="71"/>
      <c r="H34" s="459"/>
      <c r="Y34" s="445"/>
    </row>
    <row r="35" spans="1:25" x14ac:dyDescent="0.25">
      <c r="A35" s="301"/>
      <c r="B35" s="302"/>
      <c r="C35" s="363" t="s">
        <v>420</v>
      </c>
      <c r="D35" s="207">
        <f>'2010ER'!AL7</f>
        <v>62.401660342818353</v>
      </c>
      <c r="E35" s="207">
        <f>'2020ER'!AL7</f>
        <v>26.2668373090216</v>
      </c>
      <c r="F35" s="1015">
        <f t="shared" si="0"/>
        <v>58.788178039438208</v>
      </c>
      <c r="G35" s="71"/>
      <c r="H35" s="459"/>
    </row>
    <row r="36" spans="1:25" x14ac:dyDescent="0.25">
      <c r="A36" s="301"/>
      <c r="B36" s="302"/>
      <c r="C36" s="363" t="s">
        <v>419</v>
      </c>
      <c r="D36" s="207">
        <f>'2010ER'!AL8</f>
        <v>12.077454219452086</v>
      </c>
      <c r="E36" s="207">
        <f>'2020ER'!AL8</f>
        <v>4.984839851937636</v>
      </c>
      <c r="F36" s="1015">
        <f t="shared" si="0"/>
        <v>11.368192782700589</v>
      </c>
      <c r="G36" s="71"/>
      <c r="H36" s="459"/>
    </row>
    <row r="37" spans="1:25" x14ac:dyDescent="0.25">
      <c r="A37" s="301"/>
      <c r="B37" s="302"/>
      <c r="C37" s="250"/>
      <c r="D37" s="251"/>
      <c r="E37" s="251"/>
      <c r="F37" s="798"/>
      <c r="G37" s="71"/>
      <c r="H37" s="459"/>
    </row>
    <row r="38" spans="1:25" ht="15.75" x14ac:dyDescent="0.25">
      <c r="A38" s="301"/>
      <c r="B38" s="302"/>
      <c r="C38" s="462" t="s">
        <v>700</v>
      </c>
      <c r="D38" s="462"/>
      <c r="E38" s="462"/>
      <c r="F38" s="1019"/>
      <c r="G38" s="463"/>
      <c r="H38" s="462"/>
      <c r="I38" s="1150"/>
    </row>
    <row r="39" spans="1:25" ht="15.75" x14ac:dyDescent="0.25">
      <c r="A39" s="301"/>
      <c r="B39" s="302"/>
      <c r="C39" s="516" t="s">
        <v>711</v>
      </c>
      <c r="D39" s="515"/>
      <c r="E39" s="514"/>
      <c r="F39" s="700" t="s">
        <v>710</v>
      </c>
      <c r="G39" s="71"/>
      <c r="H39" s="459"/>
    </row>
    <row r="40" spans="1:25" x14ac:dyDescent="0.25">
      <c r="A40" s="301"/>
      <c r="B40" s="302"/>
      <c r="C40" s="359" t="s">
        <v>117</v>
      </c>
      <c r="D40" s="27">
        <f>INDEX(Capacity,MATCH(D9,INDEX(Capacity,,1),0),MATCH(D8,INDEX(Capacity,1,),0))*D10</f>
        <v>2400</v>
      </c>
      <c r="E40" s="27">
        <f>INDEX(Capacity,MATCH(E9,INDEX(Capacity,,1),0),MATCH(E8,INDEX(Capacity,1,),0))*E10</f>
        <v>2400</v>
      </c>
      <c r="F40" s="485">
        <f>INDEX(Capacity,MATCH(F9,INDEX(Capacity,,1),0),MATCH(F8,INDEX(Capacity,1,),0))*F10</f>
        <v>2400</v>
      </c>
      <c r="G40" s="71"/>
      <c r="H40" s="459"/>
    </row>
    <row r="41" spans="1:25" x14ac:dyDescent="0.25">
      <c r="A41" s="301"/>
      <c r="B41" s="302"/>
      <c r="C41" s="359" t="s">
        <v>118</v>
      </c>
      <c r="D41" s="27">
        <f>INDEX(Capacity,MATCH(D11,INDEX(Capacity,,1),0),MATCH(D8,INDEX(Capacity,1,),0))*D12</f>
        <v>1100</v>
      </c>
      <c r="E41" s="27">
        <f>INDEX(Capacity,MATCH(E11,INDEX(Capacity,,1),0),MATCH(E8,INDEX(Capacity,1,),0))*E12</f>
        <v>1100</v>
      </c>
      <c r="F41" s="485">
        <f>INDEX(Capacity,MATCH(F11,INDEX(Capacity,,1),0),MATCH(F8,INDEX(Capacity,1,),0))*F12</f>
        <v>1100</v>
      </c>
      <c r="G41" s="71"/>
      <c r="H41" s="459"/>
    </row>
    <row r="42" spans="1:25" x14ac:dyDescent="0.25">
      <c r="A42" s="301"/>
      <c r="B42" s="302"/>
      <c r="C42" s="359" t="s">
        <v>119</v>
      </c>
      <c r="D42" s="27">
        <f>INDEX(Capacity,MATCH(D9,INDEX(Capacity,,1),0),MATCH(D8,INDEX(Capacity,1,),0))*D13</f>
        <v>2800</v>
      </c>
      <c r="E42" s="27">
        <f>INDEX(Capacity,MATCH(E9,INDEX(Capacity,,1),0),MATCH(E8,INDEX(Capacity,1,),0))*E13</f>
        <v>2800</v>
      </c>
      <c r="F42" s="485">
        <f>INDEX(Capacity,MATCH(F9,INDEX(Capacity,,1),0),MATCH(F8,INDEX(Capacity,1,),0))*F13</f>
        <v>2800</v>
      </c>
      <c r="G42" s="71"/>
      <c r="H42" s="301"/>
    </row>
    <row r="43" spans="1:25" x14ac:dyDescent="0.25">
      <c r="A43" s="301"/>
      <c r="B43" s="302"/>
      <c r="C43" s="359" t="s">
        <v>120</v>
      </c>
      <c r="D43" s="27">
        <f>INDEX(Capacity,MATCH(D11,INDEX(Capacity,,1),0),MATCH(D8,INDEX(Capacity,1,),0))*D14</f>
        <v>1375</v>
      </c>
      <c r="E43" s="27">
        <f>INDEX(Capacity,MATCH(E11,INDEX(Capacity,,1),0),MATCH(E8,INDEX(Capacity,1,),0))*E14</f>
        <v>1375</v>
      </c>
      <c r="F43" s="485">
        <f>INDEX(Capacity,MATCH(F11,INDEX(Capacity,,1),0),MATCH(F8,INDEX(Capacity,1,),0))*F14</f>
        <v>1375</v>
      </c>
      <c r="G43"/>
      <c r="H43" s="301"/>
    </row>
    <row r="44" spans="1:25" s="500" customFormat="1" x14ac:dyDescent="0.25">
      <c r="A44" s="301"/>
      <c r="B44" s="302"/>
      <c r="C44" s="348" t="s">
        <v>121</v>
      </c>
      <c r="D44" s="76">
        <f>MAX(D15/D40,D16/D41)</f>
        <v>0.81818181818181823</v>
      </c>
      <c r="E44" s="76">
        <f>MAX(E15/E40,E16/E41)</f>
        <v>0.81818181818181823</v>
      </c>
      <c r="F44" s="484">
        <f>MAX(F15/F40,F16/F41)</f>
        <v>0.81818181818181823</v>
      </c>
      <c r="G44"/>
      <c r="H44" s="301"/>
      <c r="I44" s="744"/>
    </row>
    <row r="45" spans="1:25" s="500" customFormat="1" x14ac:dyDescent="0.25">
      <c r="A45" s="301"/>
      <c r="B45" s="302"/>
      <c r="C45" s="348" t="s">
        <v>122</v>
      </c>
      <c r="D45" s="76">
        <f>MAX(D15/D42,D16/D43)</f>
        <v>0.65454545454545454</v>
      </c>
      <c r="E45" s="76">
        <f>MAX(E15/E42,E16/E43)</f>
        <v>0.65454545454545454</v>
      </c>
      <c r="F45" s="484">
        <f>MAX(F15/F42,F16/F43)</f>
        <v>0.65454545454545454</v>
      </c>
      <c r="G45"/>
      <c r="H45" s="301"/>
      <c r="I45" s="744"/>
    </row>
    <row r="46" spans="1:25" s="500" customFormat="1" x14ac:dyDescent="0.25">
      <c r="A46" s="301"/>
      <c r="B46" s="302"/>
      <c r="C46" s="348" t="s">
        <v>123</v>
      </c>
      <c r="D46" s="27">
        <f>0.5*D19*(1-D25)^2/(1-(MIN(1,D44)*D25))</f>
        <v>21.153846153846157</v>
      </c>
      <c r="E46" s="27">
        <f>0.5*E19*(1-E25)^2/(1-(MIN(1,E44)*E25))</f>
        <v>21.153846153846157</v>
      </c>
      <c r="F46" s="485">
        <f>0.5*F19*(1-F25)^2/(1-(MIN(1,F44)*F25))</f>
        <v>21.153846153846157</v>
      </c>
      <c r="G46"/>
      <c r="H46" s="301"/>
      <c r="I46" s="744"/>
    </row>
    <row r="47" spans="1:25" s="500" customFormat="1" x14ac:dyDescent="0.25">
      <c r="A47" s="460"/>
      <c r="B47" s="116"/>
      <c r="C47" s="348" t="s">
        <v>802</v>
      </c>
      <c r="D47" s="27">
        <f>0.5*D19*(1-D25)^2/(1-(MIN(1,D45)*D25))</f>
        <v>18.581081081081081</v>
      </c>
      <c r="E47" s="27">
        <f>0.5*E19*(1-E25)^2/(1-(MIN(1,E45)*E25))</f>
        <v>18.581081081081081</v>
      </c>
      <c r="F47" s="485">
        <f>0.5*F19*(1-F25)^2/(1-(MIN(1,F45)*F25))</f>
        <v>18.581081081081081</v>
      </c>
      <c r="G47"/>
      <c r="H47" s="460"/>
    </row>
    <row r="48" spans="1:25" x14ac:dyDescent="0.25">
      <c r="A48" s="460"/>
      <c r="B48" s="116"/>
      <c r="C48" s="359" t="s">
        <v>88</v>
      </c>
      <c r="D48" s="27">
        <f>((D15+D16)*D46)/3600</f>
        <v>13.514957264957268</v>
      </c>
      <c r="E48" s="27">
        <f>((E15+E16)*E46)/3600</f>
        <v>13.514957264957268</v>
      </c>
      <c r="F48" s="485">
        <f>((F15+F16)*F46)/3600</f>
        <v>13.514957264957268</v>
      </c>
      <c r="G48" s="116"/>
      <c r="H48" s="460"/>
      <c r="I48" s="500"/>
    </row>
    <row r="49" spans="1:9" x14ac:dyDescent="0.25">
      <c r="A49" s="460"/>
      <c r="B49" s="116"/>
      <c r="C49" s="359" t="s">
        <v>89</v>
      </c>
      <c r="D49" s="27">
        <f>((D15+D16)*D47)/3600</f>
        <v>11.871246246246246</v>
      </c>
      <c r="E49" s="27">
        <f>((E15+E16)*E47)/3600</f>
        <v>11.871246246246246</v>
      </c>
      <c r="F49" s="485">
        <f>((F15+F16)*F47)/3600</f>
        <v>11.871246246246246</v>
      </c>
      <c r="G49" s="262"/>
      <c r="H49" s="460"/>
      <c r="I49" s="500"/>
    </row>
    <row r="50" spans="1:9" x14ac:dyDescent="0.25">
      <c r="A50" s="460"/>
      <c r="B50" s="116"/>
      <c r="C50" s="359" t="s">
        <v>838</v>
      </c>
      <c r="D50" s="27"/>
      <c r="E50" s="27"/>
      <c r="F50" s="1074">
        <f>(F17*F15+F18*F16)/(F15+F16)</f>
        <v>5.7826086956521743E-2</v>
      </c>
      <c r="G50" s="262"/>
      <c r="H50" s="460"/>
      <c r="I50" s="500"/>
    </row>
    <row r="51" spans="1:9" ht="15.75" x14ac:dyDescent="0.25">
      <c r="A51" s="460"/>
      <c r="B51" s="116"/>
      <c r="C51" s="359" t="s">
        <v>387</v>
      </c>
      <c r="D51" s="27">
        <f t="shared" ref="D51:E55" si="1">D$23*((D$48*(1-D$17)*D27)+(D$48*D$17*D32)+(D$48*(1-D$18)*D27)+(D$48*D$18*D32))</f>
        <v>1078273.9302627717</v>
      </c>
      <c r="E51" s="27">
        <f t="shared" si="1"/>
        <v>961511.06158389454</v>
      </c>
      <c r="F51" s="485">
        <f>F$23*((F$48*(1-F$50)*F27)+(F$48*F$50*F32))</f>
        <v>532118.72075425007</v>
      </c>
      <c r="G51" s="255"/>
      <c r="H51" s="460"/>
      <c r="I51" s="1151"/>
    </row>
    <row r="52" spans="1:9" ht="15.75" x14ac:dyDescent="0.25">
      <c r="A52" s="301"/>
      <c r="B52" s="302"/>
      <c r="C52" s="359" t="s">
        <v>633</v>
      </c>
      <c r="D52" s="27">
        <f t="shared" si="1"/>
        <v>1905.9125154756839</v>
      </c>
      <c r="E52" s="27">
        <f t="shared" si="1"/>
        <v>704.97234745037247</v>
      </c>
      <c r="F52" s="485">
        <f t="shared" ref="F52:F55" si="2">F$23*((F$48*(1-F$50)*F28)+(F$48*F$50*F33))</f>
        <v>874.02798300204381</v>
      </c>
      <c r="G52" s="116"/>
      <c r="H52" s="301"/>
      <c r="I52" s="1151"/>
    </row>
    <row r="53" spans="1:9" x14ac:dyDescent="0.25">
      <c r="A53" s="301"/>
      <c r="B53" s="302"/>
      <c r="C53" s="359" t="s">
        <v>389</v>
      </c>
      <c r="D53" s="27">
        <f t="shared" si="1"/>
        <v>115.43596444030186</v>
      </c>
      <c r="E53" s="27">
        <f t="shared" si="1"/>
        <v>49.854687396645204</v>
      </c>
      <c r="F53" s="485">
        <f t="shared" si="2"/>
        <v>53.383204221434525</v>
      </c>
      <c r="G53"/>
      <c r="H53" s="301"/>
    </row>
    <row r="54" spans="1:9" x14ac:dyDescent="0.25">
      <c r="A54" s="301"/>
      <c r="B54" s="302"/>
      <c r="C54" s="359" t="s">
        <v>634</v>
      </c>
      <c r="D54" s="27">
        <f t="shared" si="1"/>
        <v>2474.3926835880011</v>
      </c>
      <c r="E54" s="27">
        <f t="shared" si="1"/>
        <v>1083.0534479809894</v>
      </c>
      <c r="F54" s="485">
        <f t="shared" si="2"/>
        <v>1151.955078998692</v>
      </c>
      <c r="G54"/>
      <c r="H54" s="301"/>
    </row>
    <row r="55" spans="1:9" x14ac:dyDescent="0.25">
      <c r="A55" s="301"/>
      <c r="B55" s="302"/>
      <c r="C55" s="359" t="s">
        <v>388</v>
      </c>
      <c r="D55" s="27">
        <f t="shared" si="1"/>
        <v>895.69006540385817</v>
      </c>
      <c r="E55" s="27">
        <f t="shared" si="1"/>
        <v>237.31704340404593</v>
      </c>
      <c r="F55" s="485">
        <f t="shared" si="2"/>
        <v>412.3327645464787</v>
      </c>
      <c r="G55"/>
      <c r="H55" s="301"/>
    </row>
    <row r="56" spans="1:9" x14ac:dyDescent="0.25">
      <c r="A56" s="301"/>
      <c r="B56" s="302"/>
      <c r="C56" s="359" t="s">
        <v>390</v>
      </c>
      <c r="D56" s="27">
        <f t="shared" ref="D56:E60" si="3">D$23*((D$49*(1-D$17)*D27)+(D$49*D$17*D32)+(D$49*(1-D$18)*D27)+(D$49*D$18*D32))</f>
        <v>947132.50631189393</v>
      </c>
      <c r="E56" s="27">
        <f t="shared" si="3"/>
        <v>844570.52706693416</v>
      </c>
      <c r="F56" s="485">
        <f>F$23*((F$49*(1-F$50)*F27)+(F$49*F$50*F32))</f>
        <v>467401.57904089516</v>
      </c>
      <c r="G56"/>
      <c r="H56" s="301"/>
    </row>
    <row r="57" spans="1:9" x14ac:dyDescent="0.25">
      <c r="A57" s="301"/>
      <c r="B57" s="302"/>
      <c r="C57" s="359" t="s">
        <v>635</v>
      </c>
      <c r="D57" s="27">
        <f t="shared" si="3"/>
        <v>1674.1123446745864</v>
      </c>
      <c r="E57" s="27">
        <f t="shared" si="3"/>
        <v>619.23246735505677</v>
      </c>
      <c r="F57" s="485">
        <f t="shared" ref="F57:F60" si="4">F$23*((F$49*(1-F$50)*F28)+(F$49*F$50*F33))</f>
        <v>767.72728236665989</v>
      </c>
      <c r="G57"/>
      <c r="H57" s="301"/>
    </row>
    <row r="58" spans="1:9" x14ac:dyDescent="0.25">
      <c r="A58" s="301"/>
      <c r="B58" s="302"/>
      <c r="C58" s="359" t="s">
        <v>392</v>
      </c>
      <c r="D58" s="27">
        <f t="shared" si="3"/>
        <v>101.39645525161647</v>
      </c>
      <c r="E58" s="27">
        <f t="shared" si="3"/>
        <v>43.79127947002619</v>
      </c>
      <c r="F58" s="485">
        <f t="shared" si="4"/>
        <v>46.890652356665456</v>
      </c>
      <c r="G58"/>
      <c r="H58" s="301"/>
    </row>
    <row r="59" spans="1:9" x14ac:dyDescent="0.25">
      <c r="A59" s="301"/>
      <c r="B59" s="302"/>
      <c r="C59" s="359" t="s">
        <v>636</v>
      </c>
      <c r="D59" s="27">
        <f t="shared" si="3"/>
        <v>2173.4530328813516</v>
      </c>
      <c r="E59" s="27">
        <f t="shared" si="3"/>
        <v>951.33073133465246</v>
      </c>
      <c r="F59" s="485">
        <f t="shared" si="4"/>
        <v>1011.8524342556077</v>
      </c>
      <c r="G59"/>
      <c r="H59" s="301"/>
    </row>
    <row r="60" spans="1:9" x14ac:dyDescent="0.25">
      <c r="A60" s="301"/>
      <c r="B60" s="302"/>
      <c r="C60" s="359" t="s">
        <v>391</v>
      </c>
      <c r="D60" s="27">
        <f t="shared" si="3"/>
        <v>786.75478717906435</v>
      </c>
      <c r="E60" s="27">
        <f t="shared" si="3"/>
        <v>208.45415974679702</v>
      </c>
      <c r="F60" s="485">
        <f t="shared" si="4"/>
        <v>362.18418507460962</v>
      </c>
      <c r="G60"/>
      <c r="H60" s="301"/>
    </row>
    <row r="61" spans="1:9" x14ac:dyDescent="0.25">
      <c r="A61" s="301"/>
      <c r="B61" s="302"/>
      <c r="C61" s="29"/>
      <c r="D61" s="58"/>
      <c r="E61" s="58"/>
      <c r="F61" s="58"/>
      <c r="G61" s="302"/>
      <c r="H61" s="301"/>
    </row>
    <row r="62" spans="1:9" ht="15.75" x14ac:dyDescent="0.25">
      <c r="A62" s="301"/>
      <c r="B62" s="302"/>
      <c r="C62" s="1197" t="s">
        <v>701</v>
      </c>
      <c r="D62" s="1197"/>
      <c r="E62" s="1197"/>
      <c r="F62" s="1197"/>
      <c r="G62" s="302"/>
      <c r="H62" s="301"/>
    </row>
    <row r="63" spans="1:9" ht="15.75" thickBot="1" x14ac:dyDescent="0.3">
      <c r="A63" s="301"/>
      <c r="B63" s="302"/>
      <c r="C63" s="298" t="s">
        <v>990</v>
      </c>
      <c r="D63" s="58"/>
      <c r="E63" s="58"/>
      <c r="F63" s="58"/>
      <c r="G63"/>
      <c r="H63" s="301"/>
    </row>
    <row r="64" spans="1:9" x14ac:dyDescent="0.25">
      <c r="A64" s="301"/>
      <c r="B64" s="332"/>
      <c r="C64" s="329" t="s">
        <v>124</v>
      </c>
      <c r="D64" s="1059">
        <f>(D48*D23*D24)-(D49*D23*D24)</f>
        <v>4109.2775467775573</v>
      </c>
      <c r="E64" s="1056">
        <f>(E48*E23*E24)-(E49*E23*E24)</f>
        <v>4109.2775467775573</v>
      </c>
      <c r="F64" s="1193">
        <f>(F48*F23*F24)-(F49*F23*F24)</f>
        <v>4109.2775467775573</v>
      </c>
      <c r="G64"/>
      <c r="H64" s="301"/>
    </row>
    <row r="65" spans="1:8" ht="15.75" thickBot="1" x14ac:dyDescent="0.3">
      <c r="A65" s="301"/>
      <c r="B65" s="332"/>
      <c r="C65" s="1069" t="s">
        <v>52</v>
      </c>
      <c r="D65" s="1043" t="s">
        <v>360</v>
      </c>
      <c r="E65" s="1070" t="s">
        <v>360</v>
      </c>
      <c r="F65" s="1070" t="s">
        <v>360</v>
      </c>
      <c r="G65" s="1001"/>
      <c r="H65" s="301"/>
    </row>
    <row r="66" spans="1:8" x14ac:dyDescent="0.25">
      <c r="A66" s="301"/>
      <c r="B66" s="302"/>
      <c r="C66" s="29"/>
      <c r="D66" s="58"/>
      <c r="E66" s="58"/>
      <c r="F66" s="58"/>
      <c r="G66"/>
      <c r="H66" s="301"/>
    </row>
    <row r="67" spans="1:8" ht="15.75" thickBot="1" x14ac:dyDescent="0.3">
      <c r="A67" s="301"/>
      <c r="B67" s="302"/>
      <c r="C67" s="298" t="s">
        <v>724</v>
      </c>
      <c r="D67"/>
      <c r="E67" s="47"/>
      <c r="F67" s="47"/>
      <c r="G67"/>
      <c r="H67" s="301"/>
    </row>
    <row r="68" spans="1:8" ht="15.75" thickBot="1" x14ac:dyDescent="0.3">
      <c r="A68" s="301"/>
      <c r="B68" s="332"/>
      <c r="C68" s="329" t="s">
        <v>817</v>
      </c>
      <c r="D68" s="59">
        <f t="shared" ref="D68:F72" si="5">(D51-D56)*D$24</f>
        <v>32785355.987719435</v>
      </c>
      <c r="E68" s="59">
        <f t="shared" si="5"/>
        <v>29235133.629240096</v>
      </c>
      <c r="F68" s="950">
        <f t="shared" si="5"/>
        <v>16179285.428338727</v>
      </c>
      <c r="G68"/>
      <c r="H68" s="301"/>
    </row>
    <row r="69" spans="1:8" ht="15.75" thickBot="1" x14ac:dyDescent="0.3">
      <c r="A69" s="301"/>
      <c r="B69" s="332"/>
      <c r="C69" s="330" t="s">
        <v>818</v>
      </c>
      <c r="D69" s="59">
        <f t="shared" si="5"/>
        <v>57950.042700274367</v>
      </c>
      <c r="E69" s="59">
        <f t="shared" si="5"/>
        <v>21434.970023828926</v>
      </c>
      <c r="F69" s="524">
        <f t="shared" si="5"/>
        <v>26575.175158845981</v>
      </c>
      <c r="G69"/>
      <c r="H69" s="301"/>
    </row>
    <row r="70" spans="1:8" ht="15.75" thickBot="1" x14ac:dyDescent="0.3">
      <c r="A70" s="301"/>
      <c r="B70" s="332"/>
      <c r="C70" s="330" t="s">
        <v>819</v>
      </c>
      <c r="D70" s="59">
        <f t="shared" si="5"/>
        <v>3509.8772971713465</v>
      </c>
      <c r="E70" s="59">
        <f t="shared" si="5"/>
        <v>1515.8519816547534</v>
      </c>
      <c r="F70" s="951">
        <f t="shared" si="5"/>
        <v>1623.1379661922674</v>
      </c>
      <c r="G70"/>
      <c r="H70" s="301"/>
    </row>
    <row r="71" spans="1:8" ht="15.75" thickBot="1" x14ac:dyDescent="0.3">
      <c r="A71" s="301"/>
      <c r="B71" s="332"/>
      <c r="C71" s="330" t="s">
        <v>820</v>
      </c>
      <c r="D71" s="59">
        <f t="shared" si="5"/>
        <v>75234.912676662367</v>
      </c>
      <c r="E71" s="59">
        <f t="shared" si="5"/>
        <v>32930.679161584238</v>
      </c>
      <c r="F71" s="524">
        <f t="shared" si="5"/>
        <v>35025.661185771074</v>
      </c>
      <c r="G71"/>
      <c r="H71" s="301"/>
    </row>
    <row r="72" spans="1:8" ht="15.75" thickBot="1" x14ac:dyDescent="0.3">
      <c r="A72" s="301"/>
      <c r="B72" s="332"/>
      <c r="C72" s="330" t="s">
        <v>821</v>
      </c>
      <c r="D72" s="59">
        <f t="shared" si="5"/>
        <v>27233.819556198454</v>
      </c>
      <c r="E72" s="59">
        <f t="shared" si="5"/>
        <v>7215.7209143122291</v>
      </c>
      <c r="F72" s="949">
        <f t="shared" si="5"/>
        <v>12537.14486796727</v>
      </c>
      <c r="G72"/>
      <c r="H72" s="301"/>
    </row>
    <row r="73" spans="1:8" x14ac:dyDescent="0.25">
      <c r="A73" s="301"/>
      <c r="B73" s="332"/>
      <c r="C73" s="329" t="s">
        <v>974</v>
      </c>
      <c r="D73" s="7"/>
      <c r="E73" s="47"/>
      <c r="F73" s="804">
        <f>(F68*0.00000110231)/$F$24</f>
        <v>7.1338352482048256E-2</v>
      </c>
      <c r="G73"/>
      <c r="H73" s="301"/>
    </row>
    <row r="74" spans="1:8" x14ac:dyDescent="0.25">
      <c r="A74" s="301"/>
      <c r="B74" s="332"/>
      <c r="C74" s="330" t="s">
        <v>975</v>
      </c>
      <c r="D74" s="47"/>
      <c r="E74"/>
      <c r="F74" s="805">
        <f t="shared" ref="F74:F77" si="6">(F69*0.00000110231)/$F$24</f>
        <v>1.1717632531739006E-4</v>
      </c>
      <c r="G74"/>
      <c r="H74" s="301"/>
    </row>
    <row r="75" spans="1:8" x14ac:dyDescent="0.25">
      <c r="A75" s="301"/>
      <c r="B75" s="332"/>
      <c r="C75" s="330" t="s">
        <v>976</v>
      </c>
      <c r="D75" s="47"/>
      <c r="E75"/>
      <c r="F75" s="805">
        <f t="shared" si="6"/>
        <v>7.1568048460535933E-6</v>
      </c>
      <c r="G75"/>
      <c r="H75" s="301"/>
    </row>
    <row r="76" spans="1:8" x14ac:dyDescent="0.25">
      <c r="A76" s="301"/>
      <c r="B76" s="332"/>
      <c r="C76" s="330" t="s">
        <v>977</v>
      </c>
      <c r="D76" s="47"/>
      <c r="E76"/>
      <c r="F76" s="805">
        <f t="shared" si="6"/>
        <v>1.5443654632674929E-4</v>
      </c>
      <c r="G76"/>
      <c r="H76" s="301"/>
    </row>
    <row r="77" spans="1:8" ht="15.75" thickBot="1" x14ac:dyDescent="0.3">
      <c r="A77" s="301"/>
      <c r="B77" s="332"/>
      <c r="C77" s="331" t="s">
        <v>978</v>
      </c>
      <c r="D77" s="47"/>
      <c r="E77"/>
      <c r="F77" s="805">
        <f t="shared" si="6"/>
        <v>5.5279280637636011E-5</v>
      </c>
      <c r="G77"/>
      <c r="H77" s="301"/>
    </row>
    <row r="78" spans="1:8" ht="13.5" customHeight="1" x14ac:dyDescent="0.3">
      <c r="A78" s="301"/>
      <c r="B78" s="302"/>
      <c r="C78" s="69"/>
      <c r="D78" s="7"/>
      <c r="E78" s="47"/>
      <c r="F78" s="472"/>
      <c r="G78"/>
      <c r="H78" s="301"/>
    </row>
    <row r="79" spans="1:8" x14ac:dyDescent="0.25">
      <c r="A79" s="301"/>
      <c r="B79" s="301"/>
      <c r="C79" s="301"/>
      <c r="D79" s="454"/>
      <c r="E79" s="461"/>
      <c r="F79" s="461"/>
      <c r="G79" s="301"/>
      <c r="H79" s="301"/>
    </row>
  </sheetData>
  <mergeCells count="3">
    <mergeCell ref="C5:F5"/>
    <mergeCell ref="C3:F3"/>
    <mergeCell ref="C62:F62"/>
  </mergeCells>
  <pageMargins left="0.7" right="0.7" top="0.75" bottom="0.75" header="0.3" footer="0.3"/>
  <pageSetup orientation="portrait" r:id="rId1"/>
  <ignoredErrors>
    <ignoredError sqref="D42" formula="1"/>
    <ignoredError sqref="Q30:Q32" evalError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OtherVariables!$I$121:$I$131</xm:f>
          </x14:formula1>
          <xm:sqref>F7</xm:sqref>
        </x14:dataValidation>
        <x14:dataValidation type="list" allowBlank="1" showInputMessage="1" showErrorMessage="1">
          <x14:formula1>
            <xm:f>OtherVariables!$C$9:$I$9</xm:f>
          </x14:formula1>
          <xm:sqref>D8:F8</xm:sqref>
        </x14:dataValidation>
        <x14:dataValidation type="list" allowBlank="1" showInputMessage="1" showErrorMessage="1">
          <x14:formula1>
            <xm:f>OtherVariables!$B$21:$B$27</xm:f>
          </x14:formula1>
          <xm:sqref>D9:F9 D11:F11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I111"/>
  <sheetViews>
    <sheetView showGridLines="0" zoomScale="80" zoomScaleNormal="80" workbookViewId="0">
      <selection activeCell="T69" sqref="T69"/>
    </sheetView>
  </sheetViews>
  <sheetFormatPr defaultRowHeight="15" x14ac:dyDescent="0.25"/>
  <cols>
    <col min="1" max="1" width="2.42578125" style="858" customWidth="1"/>
    <col min="2" max="2" width="1.85546875" style="858" customWidth="1"/>
    <col min="3" max="3" width="53.5703125" style="858" customWidth="1"/>
    <col min="4" max="4" width="14.140625" style="858" customWidth="1"/>
    <col min="5" max="5" width="28.7109375" style="858" hidden="1" customWidth="1"/>
    <col min="6" max="6" width="28.7109375" style="861" hidden="1" customWidth="1"/>
    <col min="7" max="7" width="13.140625" style="858" customWidth="1"/>
    <col min="8" max="8" width="14.28515625" style="858" customWidth="1"/>
    <col min="9" max="9" width="13.28515625" style="858" customWidth="1"/>
    <col min="10" max="10" width="1.7109375" style="858" customWidth="1"/>
    <col min="11" max="11" width="2.140625" style="858" customWidth="1"/>
    <col min="12" max="12" width="11.5703125" style="858" bestFit="1" customWidth="1"/>
    <col min="13" max="13" width="11.7109375" style="858" bestFit="1" customWidth="1"/>
    <col min="14" max="14" width="12.42578125" style="858" bestFit="1" customWidth="1"/>
    <col min="15" max="23" width="9.140625" style="858"/>
    <col min="24" max="24" width="29.5703125" style="882" customWidth="1"/>
    <col min="25" max="25" width="23.7109375" style="882" customWidth="1"/>
    <col min="26" max="26" width="21.28515625" style="882" customWidth="1"/>
    <col min="27" max="27" width="21.85546875" style="882" customWidth="1"/>
    <col min="28" max="16384" width="9.140625" style="858"/>
  </cols>
  <sheetData>
    <row r="1" spans="1:29" ht="15.75" x14ac:dyDescent="0.25">
      <c r="A1" s="301"/>
      <c r="B1" s="301"/>
      <c r="C1" s="301"/>
      <c r="D1" s="301"/>
      <c r="E1" s="301"/>
      <c r="F1" s="301"/>
      <c r="G1" s="301"/>
      <c r="H1" s="349"/>
      <c r="I1" s="349"/>
      <c r="J1" s="301"/>
      <c r="K1" s="301"/>
    </row>
    <row r="2" spans="1:29" ht="10.5" customHeight="1" x14ac:dyDescent="0.25">
      <c r="A2" s="301"/>
      <c r="B2" s="302"/>
      <c r="C2" s="302"/>
      <c r="D2" s="302"/>
      <c r="E2" s="302"/>
      <c r="F2" s="302"/>
      <c r="G2" s="302"/>
      <c r="H2" s="136"/>
      <c r="I2" s="136"/>
      <c r="J2" s="136"/>
      <c r="K2" s="301"/>
    </row>
    <row r="3" spans="1:29" ht="26.25" x14ac:dyDescent="0.25">
      <c r="A3" s="301"/>
      <c r="B3" s="302"/>
      <c r="C3" s="1203" t="s">
        <v>262</v>
      </c>
      <c r="D3" s="1203"/>
      <c r="E3" s="1203"/>
      <c r="F3" s="1203"/>
      <c r="G3" s="1203"/>
      <c r="H3" s="1203"/>
      <c r="I3" s="1203"/>
      <c r="J3" s="136"/>
      <c r="K3" s="393"/>
      <c r="L3" s="859"/>
      <c r="M3" s="859"/>
      <c r="N3" s="860"/>
      <c r="Q3" s="499"/>
      <c r="X3" s="744"/>
      <c r="Y3" s="744"/>
      <c r="Z3" s="744"/>
    </row>
    <row r="4" spans="1:29" ht="15.75" x14ac:dyDescent="0.25">
      <c r="A4" s="301"/>
      <c r="B4" s="136"/>
      <c r="C4" s="138"/>
      <c r="D4" s="138"/>
      <c r="E4" s="136"/>
      <c r="F4" s="136"/>
      <c r="G4" s="136"/>
      <c r="H4" s="194"/>
      <c r="I4" s="194"/>
      <c r="J4" s="136"/>
      <c r="K4" s="349"/>
      <c r="N4" s="861"/>
      <c r="T4" s="862"/>
      <c r="U4" s="862"/>
      <c r="X4" s="744"/>
      <c r="Y4" s="744"/>
      <c r="Z4" s="744"/>
      <c r="AB4" s="891"/>
      <c r="AC4" s="891"/>
    </row>
    <row r="5" spans="1:29" s="863" customFormat="1" ht="15.75" x14ac:dyDescent="0.25">
      <c r="A5" s="301"/>
      <c r="B5" s="141"/>
      <c r="C5" s="1202" t="s">
        <v>703</v>
      </c>
      <c r="D5" s="1202"/>
      <c r="E5" s="1202"/>
      <c r="F5" s="1202"/>
      <c r="G5" s="349"/>
      <c r="H5" s="349"/>
      <c r="I5" s="349"/>
      <c r="J5" s="141"/>
      <c r="K5" s="349"/>
      <c r="N5" s="861"/>
      <c r="P5" s="483"/>
      <c r="Q5" s="858"/>
      <c r="T5" s="864"/>
      <c r="U5" s="865"/>
      <c r="X5" s="744"/>
      <c r="Y5" s="744"/>
      <c r="Z5" s="744"/>
      <c r="AA5" s="882"/>
      <c r="AB5" s="891"/>
      <c r="AC5" s="891"/>
    </row>
    <row r="6" spans="1:29" s="863" customFormat="1" ht="15.75" x14ac:dyDescent="0.25">
      <c r="A6" s="301"/>
      <c r="B6" s="141"/>
      <c r="C6" s="1222" t="s">
        <v>711</v>
      </c>
      <c r="D6" s="1222"/>
      <c r="E6" s="346"/>
      <c r="F6" s="346"/>
      <c r="G6" s="1222" t="s">
        <v>720</v>
      </c>
      <c r="H6" s="1222"/>
      <c r="I6" s="350"/>
      <c r="J6" s="141"/>
      <c r="K6" s="349"/>
      <c r="L6" s="866"/>
      <c r="M6" s="866"/>
      <c r="N6" s="861"/>
      <c r="O6" s="867"/>
      <c r="P6" s="478"/>
      <c r="Q6" s="868"/>
      <c r="R6" s="497"/>
      <c r="S6" s="497"/>
      <c r="T6" s="864"/>
      <c r="U6" s="865"/>
      <c r="X6" s="744"/>
      <c r="Y6" s="744"/>
      <c r="Z6" s="744"/>
      <c r="AA6" s="882"/>
      <c r="AB6" s="891"/>
      <c r="AC6" s="891"/>
    </row>
    <row r="7" spans="1:29" s="863" customFormat="1" ht="15.75" x14ac:dyDescent="0.25">
      <c r="A7" s="301"/>
      <c r="B7" s="141"/>
      <c r="C7" s="337" t="s">
        <v>136</v>
      </c>
      <c r="D7" s="341"/>
      <c r="E7" s="166"/>
      <c r="F7" s="166"/>
      <c r="G7" s="1223">
        <v>2011</v>
      </c>
      <c r="H7" s="1223"/>
      <c r="I7" s="816"/>
      <c r="J7" s="141"/>
      <c r="K7" s="349"/>
      <c r="L7" s="866"/>
      <c r="M7" s="866"/>
      <c r="N7" s="861"/>
      <c r="O7" s="869"/>
      <c r="P7" s="858"/>
      <c r="R7" s="497"/>
      <c r="S7" s="497"/>
      <c r="T7" s="862"/>
      <c r="U7" s="870"/>
      <c r="X7" s="744"/>
      <c r="Y7" s="744"/>
      <c r="Z7" s="744"/>
      <c r="AA7" s="882"/>
      <c r="AB7" s="891"/>
      <c r="AC7" s="891"/>
    </row>
    <row r="8" spans="1:29" s="863" customFormat="1" ht="15.75" x14ac:dyDescent="0.25">
      <c r="A8" s="301"/>
      <c r="B8" s="141"/>
      <c r="C8" s="635" t="s">
        <v>683</v>
      </c>
      <c r="D8" s="143"/>
      <c r="E8" s="795"/>
      <c r="F8" s="795"/>
      <c r="G8" s="142"/>
      <c r="H8" s="47"/>
      <c r="I8" s="52"/>
      <c r="J8" s="141"/>
      <c r="K8" s="349"/>
      <c r="L8" s="866"/>
      <c r="M8" s="866"/>
      <c r="O8" s="869"/>
      <c r="P8" s="858"/>
      <c r="R8" s="497"/>
      <c r="S8" s="497"/>
      <c r="T8" s="862"/>
      <c r="U8" s="870"/>
      <c r="X8" s="744"/>
      <c r="Y8" s="744"/>
      <c r="Z8" s="744"/>
      <c r="AA8" s="882"/>
      <c r="AB8" s="891"/>
      <c r="AC8" s="891"/>
    </row>
    <row r="9" spans="1:29" s="863" customFormat="1" ht="15.75" x14ac:dyDescent="0.25">
      <c r="A9" s="301"/>
      <c r="B9" s="141"/>
      <c r="C9" s="338" t="s">
        <v>662</v>
      </c>
      <c r="D9" s="339"/>
      <c r="E9" s="777">
        <f>G9</f>
        <v>500</v>
      </c>
      <c r="F9" s="777">
        <f>G9</f>
        <v>500</v>
      </c>
      <c r="G9" s="1220">
        <v>500</v>
      </c>
      <c r="H9" s="1220"/>
      <c r="I9" s="817"/>
      <c r="J9" s="141"/>
      <c r="K9" s="349"/>
      <c r="L9" s="866"/>
      <c r="M9" s="866"/>
      <c r="O9" s="869"/>
      <c r="P9" s="858"/>
      <c r="R9" s="497"/>
      <c r="S9" s="497"/>
      <c r="T9" s="862"/>
      <c r="U9" s="870"/>
      <c r="X9" s="744"/>
      <c r="Y9" s="744"/>
      <c r="Z9" s="744"/>
      <c r="AA9" s="882"/>
      <c r="AB9" s="891"/>
      <c r="AC9" s="891"/>
    </row>
    <row r="10" spans="1:29" s="863" customFormat="1" ht="15.75" x14ac:dyDescent="0.25">
      <c r="A10" s="301"/>
      <c r="B10" s="141"/>
      <c r="C10" s="338" t="s">
        <v>663</v>
      </c>
      <c r="D10" s="339"/>
      <c r="E10" s="779">
        <f t="shared" ref="E10:E14" si="0">G10</f>
        <v>0.5714285714285714</v>
      </c>
      <c r="F10" s="779">
        <f t="shared" ref="F10:F14" si="1">G10</f>
        <v>0.5714285714285714</v>
      </c>
      <c r="G10" s="1216">
        <f>400/700</f>
        <v>0.5714285714285714</v>
      </c>
      <c r="H10" s="1216"/>
      <c r="I10" s="818"/>
      <c r="J10" s="141"/>
      <c r="K10" s="349"/>
      <c r="L10" s="866"/>
      <c r="M10" s="866"/>
      <c r="O10" s="869"/>
      <c r="P10" s="858"/>
      <c r="R10" s="497"/>
      <c r="S10" s="497"/>
      <c r="T10" s="862"/>
      <c r="U10" s="870"/>
      <c r="X10" s="744"/>
      <c r="Y10" s="744"/>
      <c r="Z10" s="744"/>
      <c r="AA10" s="882"/>
      <c r="AB10" s="891"/>
      <c r="AC10" s="891"/>
    </row>
    <row r="11" spans="1:29" s="863" customFormat="1" ht="16.5" thickBot="1" x14ac:dyDescent="0.3">
      <c r="A11" s="301"/>
      <c r="B11" s="141"/>
      <c r="C11" s="338" t="s">
        <v>664</v>
      </c>
      <c r="D11" s="339"/>
      <c r="E11" s="357">
        <f t="shared" si="0"/>
        <v>0.34</v>
      </c>
      <c r="F11" s="781">
        <f t="shared" si="1"/>
        <v>0.34</v>
      </c>
      <c r="G11" s="1216">
        <v>0.34</v>
      </c>
      <c r="H11" s="1216"/>
      <c r="I11" s="819"/>
      <c r="J11" s="141"/>
      <c r="K11" s="349"/>
      <c r="L11" s="866"/>
      <c r="M11" s="866"/>
      <c r="O11" s="869"/>
      <c r="P11" s="858"/>
      <c r="R11" s="497"/>
      <c r="S11" s="497"/>
      <c r="T11" s="862"/>
      <c r="U11" s="870"/>
      <c r="X11" s="744"/>
      <c r="Y11" s="744"/>
      <c r="Z11" s="744"/>
      <c r="AA11" s="882"/>
      <c r="AB11" s="891"/>
      <c r="AC11" s="891"/>
    </row>
    <row r="12" spans="1:29" s="863" customFormat="1" ht="15.75" x14ac:dyDescent="0.25">
      <c r="A12" s="301"/>
      <c r="B12" s="141"/>
      <c r="C12" s="338" t="s">
        <v>630</v>
      </c>
      <c r="D12" s="340"/>
      <c r="E12" s="360">
        <f t="shared" si="0"/>
        <v>130</v>
      </c>
      <c r="F12" s="782">
        <f t="shared" si="1"/>
        <v>130</v>
      </c>
      <c r="G12" s="1220">
        <v>130</v>
      </c>
      <c r="H12" s="1220"/>
      <c r="I12" s="820"/>
      <c r="J12" s="141"/>
      <c r="K12" s="349"/>
      <c r="L12" s="866"/>
      <c r="M12" s="866"/>
      <c r="O12" s="869"/>
      <c r="P12" s="858"/>
      <c r="R12" s="497"/>
      <c r="S12" s="497"/>
      <c r="T12" s="862"/>
      <c r="U12" s="870"/>
      <c r="X12" s="882"/>
      <c r="Y12" s="744"/>
      <c r="Z12" s="744"/>
      <c r="AA12" s="882"/>
      <c r="AB12" s="891"/>
      <c r="AC12" s="891"/>
    </row>
    <row r="13" spans="1:29" s="863" customFormat="1" ht="15.75" x14ac:dyDescent="0.25">
      <c r="A13" s="301"/>
      <c r="B13" s="141"/>
      <c r="C13" s="338" t="s">
        <v>665</v>
      </c>
      <c r="D13" s="339"/>
      <c r="E13" s="361">
        <f t="shared" si="0"/>
        <v>0.22</v>
      </c>
      <c r="F13" s="783">
        <f t="shared" si="1"/>
        <v>0.22</v>
      </c>
      <c r="G13" s="1216">
        <v>0.22</v>
      </c>
      <c r="H13" s="1216"/>
      <c r="I13" s="819"/>
      <c r="J13" s="141"/>
      <c r="K13" s="349"/>
      <c r="L13" s="866"/>
      <c r="M13" s="866"/>
      <c r="P13" s="858"/>
      <c r="R13" s="497"/>
      <c r="S13" s="497"/>
      <c r="T13" s="862"/>
      <c r="U13" s="870"/>
      <c r="X13" s="882"/>
      <c r="Y13" s="744"/>
      <c r="Z13" s="744"/>
      <c r="AA13" s="882"/>
      <c r="AB13" s="891"/>
      <c r="AC13" s="891"/>
    </row>
    <row r="14" spans="1:29" s="863" customFormat="1" ht="16.5" thickBot="1" x14ac:dyDescent="0.3">
      <c r="A14" s="301"/>
      <c r="B14" s="141"/>
      <c r="C14" s="338" t="s">
        <v>666</v>
      </c>
      <c r="D14" s="339"/>
      <c r="E14" s="357">
        <f t="shared" si="0"/>
        <v>0.52</v>
      </c>
      <c r="F14" s="781">
        <f t="shared" si="1"/>
        <v>0.52</v>
      </c>
      <c r="G14" s="1216">
        <v>0.52</v>
      </c>
      <c r="H14" s="1216"/>
      <c r="I14" s="819"/>
      <c r="J14" s="141"/>
      <c r="K14" s="349"/>
      <c r="L14" s="871"/>
      <c r="M14" s="871"/>
      <c r="O14" s="869"/>
      <c r="P14" s="858"/>
      <c r="R14" s="497"/>
      <c r="S14" s="497"/>
      <c r="T14" s="862"/>
      <c r="U14" s="870"/>
      <c r="X14" s="882"/>
      <c r="Y14" s="744"/>
      <c r="Z14" s="744"/>
      <c r="AA14" s="882"/>
      <c r="AB14" s="891"/>
      <c r="AC14" s="891"/>
    </row>
    <row r="15" spans="1:29" s="863" customFormat="1" ht="16.5" thickBot="1" x14ac:dyDescent="0.3">
      <c r="A15" s="301"/>
      <c r="B15" s="141"/>
      <c r="C15" s="635" t="s">
        <v>684</v>
      </c>
      <c r="D15" s="143"/>
      <c r="E15" s="145"/>
      <c r="F15" s="145"/>
      <c r="G15" s="142"/>
      <c r="H15" s="47"/>
      <c r="I15" s="47"/>
      <c r="J15" s="141"/>
      <c r="K15" s="349"/>
      <c r="L15" s="871"/>
      <c r="M15" s="871"/>
      <c r="O15" s="869"/>
      <c r="P15" s="858"/>
      <c r="R15" s="497"/>
      <c r="S15" s="497"/>
      <c r="T15" s="862"/>
      <c r="U15" s="870"/>
      <c r="X15" s="882"/>
      <c r="Y15" s="882"/>
      <c r="Z15" s="882"/>
      <c r="AA15" s="882"/>
      <c r="AB15" s="891"/>
      <c r="AC15" s="891">
        <v>1</v>
      </c>
    </row>
    <row r="16" spans="1:29" s="863" customFormat="1" ht="15.75" x14ac:dyDescent="0.25">
      <c r="A16" s="301"/>
      <c r="B16" s="141"/>
      <c r="C16" s="338" t="s">
        <v>627</v>
      </c>
      <c r="D16" s="339"/>
      <c r="E16" s="360">
        <f>G16</f>
        <v>600</v>
      </c>
      <c r="F16" s="782">
        <f>G16</f>
        <v>600</v>
      </c>
      <c r="G16" s="1220">
        <v>600</v>
      </c>
      <c r="H16" s="1220"/>
      <c r="I16" s="821"/>
      <c r="J16" s="141"/>
      <c r="K16" s="349"/>
      <c r="L16" s="871"/>
      <c r="M16" s="871"/>
      <c r="O16" s="869"/>
      <c r="P16" s="858"/>
      <c r="R16" s="497"/>
      <c r="S16" s="497"/>
      <c r="T16" s="862"/>
      <c r="U16" s="870"/>
      <c r="X16" s="882"/>
      <c r="Y16" s="882"/>
      <c r="Z16" s="882"/>
      <c r="AA16" s="882"/>
      <c r="AB16" s="891"/>
      <c r="AC16" s="891">
        <v>2</v>
      </c>
    </row>
    <row r="17" spans="1:35" s="863" customFormat="1" ht="15.75" x14ac:dyDescent="0.25">
      <c r="A17" s="301"/>
      <c r="B17" s="141"/>
      <c r="C17" s="338" t="s">
        <v>667</v>
      </c>
      <c r="D17" s="339"/>
      <c r="E17" s="361">
        <f t="shared" ref="E17:E21" si="2">G17</f>
        <v>0.4</v>
      </c>
      <c r="F17" s="783">
        <f t="shared" ref="F17:F21" si="3">G17</f>
        <v>0.4</v>
      </c>
      <c r="G17" s="1216">
        <v>0.4</v>
      </c>
      <c r="H17" s="1216"/>
      <c r="I17" s="822"/>
      <c r="J17" s="141"/>
      <c r="K17" s="349"/>
      <c r="L17" s="866"/>
      <c r="M17" s="866"/>
      <c r="O17" s="869"/>
      <c r="P17" s="858"/>
      <c r="R17" s="497"/>
      <c r="S17" s="497"/>
      <c r="T17" s="862"/>
      <c r="U17" s="870"/>
      <c r="X17" s="882"/>
      <c r="Y17" s="882"/>
      <c r="Z17" s="882"/>
      <c r="AA17" s="882"/>
      <c r="AB17" s="891"/>
      <c r="AC17" s="891"/>
    </row>
    <row r="18" spans="1:35" s="863" customFormat="1" ht="16.5" thickBot="1" x14ac:dyDescent="0.3">
      <c r="A18" s="301"/>
      <c r="B18" s="141"/>
      <c r="C18" s="338" t="s">
        <v>668</v>
      </c>
      <c r="D18" s="339"/>
      <c r="E18" s="357">
        <f t="shared" si="2"/>
        <v>0.12</v>
      </c>
      <c r="F18" s="781">
        <f t="shared" si="3"/>
        <v>0.12</v>
      </c>
      <c r="G18" s="1216">
        <v>0.12</v>
      </c>
      <c r="H18" s="1216"/>
      <c r="I18" s="822"/>
      <c r="J18" s="141"/>
      <c r="K18" s="349"/>
      <c r="L18" s="873"/>
      <c r="M18" s="873"/>
      <c r="O18" s="870"/>
      <c r="S18" s="868"/>
      <c r="X18" s="882"/>
      <c r="Y18" s="882"/>
      <c r="Z18" s="882"/>
      <c r="AA18" s="882"/>
    </row>
    <row r="19" spans="1:35" s="863" customFormat="1" ht="15.75" x14ac:dyDescent="0.25">
      <c r="A19" s="301"/>
      <c r="B19" s="141"/>
      <c r="C19" s="338" t="s">
        <v>628</v>
      </c>
      <c r="D19" s="340"/>
      <c r="E19" s="360">
        <f t="shared" si="2"/>
        <v>425</v>
      </c>
      <c r="F19" s="782">
        <f t="shared" si="3"/>
        <v>425</v>
      </c>
      <c r="G19" s="1220">
        <v>425</v>
      </c>
      <c r="H19" s="1220"/>
      <c r="I19" s="822"/>
      <c r="J19" s="141"/>
      <c r="K19" s="349"/>
      <c r="L19" s="874"/>
      <c r="M19" s="874"/>
      <c r="N19" s="875"/>
      <c r="O19" s="858"/>
      <c r="X19" s="882"/>
      <c r="Y19" s="882"/>
      <c r="Z19" s="882"/>
      <c r="AA19" s="882"/>
    </row>
    <row r="20" spans="1:35" s="863" customFormat="1" ht="15.75" x14ac:dyDescent="0.25">
      <c r="A20" s="301"/>
      <c r="B20" s="141"/>
      <c r="C20" s="338" t="s">
        <v>687</v>
      </c>
      <c r="D20" s="339"/>
      <c r="E20" s="361">
        <f t="shared" si="2"/>
        <v>0.32</v>
      </c>
      <c r="F20" s="783">
        <f t="shared" si="3"/>
        <v>0.32</v>
      </c>
      <c r="G20" s="1216">
        <v>0.32</v>
      </c>
      <c r="H20" s="1216"/>
      <c r="I20" s="822"/>
      <c r="J20" s="141"/>
      <c r="K20" s="349"/>
      <c r="L20" s="874"/>
      <c r="M20" s="874"/>
      <c r="N20" s="875"/>
      <c r="O20" s="858"/>
      <c r="X20" s="882"/>
      <c r="Y20" s="882"/>
      <c r="Z20" s="882"/>
      <c r="AA20" s="882"/>
    </row>
    <row r="21" spans="1:35" s="863" customFormat="1" ht="16.5" thickBot="1" x14ac:dyDescent="0.3">
      <c r="A21" s="301"/>
      <c r="B21" s="141"/>
      <c r="C21" s="338" t="s">
        <v>688</v>
      </c>
      <c r="D21" s="340"/>
      <c r="E21" s="357">
        <f t="shared" si="2"/>
        <v>0.11</v>
      </c>
      <c r="F21" s="781">
        <f t="shared" si="3"/>
        <v>0.11</v>
      </c>
      <c r="G21" s="1216">
        <v>0.11</v>
      </c>
      <c r="H21" s="1216"/>
      <c r="I21" s="821"/>
      <c r="J21" s="141"/>
      <c r="K21" s="349"/>
      <c r="L21" s="876"/>
      <c r="M21" s="876"/>
      <c r="N21" s="875"/>
      <c r="O21" s="858"/>
      <c r="X21" s="882"/>
      <c r="Y21" s="882"/>
      <c r="Z21" s="882"/>
      <c r="AA21" s="882"/>
    </row>
    <row r="22" spans="1:35" s="863" customFormat="1" ht="16.5" thickBot="1" x14ac:dyDescent="0.3">
      <c r="A22" s="301"/>
      <c r="B22" s="141"/>
      <c r="C22" s="635" t="s">
        <v>685</v>
      </c>
      <c r="D22" s="796"/>
      <c r="E22" s="797"/>
      <c r="F22" s="797"/>
      <c r="G22" s="142"/>
      <c r="H22" s="141"/>
      <c r="I22" s="141"/>
      <c r="J22" s="141"/>
      <c r="K22" s="349"/>
      <c r="M22" s="497"/>
      <c r="N22" s="497"/>
      <c r="X22" s="882"/>
      <c r="Y22" s="882"/>
      <c r="Z22" s="882"/>
      <c r="AA22" s="882"/>
    </row>
    <row r="23" spans="1:35" s="863" customFormat="1" ht="15.75" x14ac:dyDescent="0.25">
      <c r="A23" s="301"/>
      <c r="B23" s="141"/>
      <c r="C23" s="338" t="s">
        <v>353</v>
      </c>
      <c r="D23" s="347"/>
      <c r="E23" s="355">
        <f>G23</f>
        <v>0.02</v>
      </c>
      <c r="F23" s="784">
        <f>G23</f>
        <v>0.02</v>
      </c>
      <c r="G23" s="1217">
        <v>0.02</v>
      </c>
      <c r="H23" s="1217"/>
      <c r="I23" s="822"/>
      <c r="J23" s="141"/>
      <c r="K23" s="349"/>
      <c r="M23" s="497"/>
      <c r="N23" s="497"/>
      <c r="X23" s="882"/>
      <c r="Y23" s="882"/>
      <c r="Z23" s="882"/>
      <c r="AA23" s="882"/>
      <c r="AE23" s="872"/>
    </row>
    <row r="24" spans="1:35" s="863" customFormat="1" ht="15.75" x14ac:dyDescent="0.25">
      <c r="A24" s="301"/>
      <c r="B24" s="141"/>
      <c r="C24" s="1213" t="s">
        <v>615</v>
      </c>
      <c r="D24" s="1214"/>
      <c r="E24" s="358">
        <f t="shared" ref="E24:E26" si="4">G24</f>
        <v>0.95</v>
      </c>
      <c r="F24" s="785">
        <f t="shared" ref="F24:F26" si="5">G24</f>
        <v>0.95</v>
      </c>
      <c r="G24" s="1218">
        <v>0.95</v>
      </c>
      <c r="H24" s="1218"/>
      <c r="I24" s="822"/>
      <c r="J24" s="141"/>
      <c r="K24" s="349"/>
      <c r="M24" s="497"/>
      <c r="N24" s="497"/>
      <c r="X24" s="882"/>
      <c r="Y24" s="877"/>
      <c r="Z24" s="878"/>
      <c r="AA24" s="878"/>
      <c r="AB24" s="878"/>
      <c r="AC24" s="878"/>
      <c r="AE24" s="877"/>
      <c r="AF24" s="878"/>
      <c r="AG24" s="878"/>
      <c r="AH24" s="878"/>
      <c r="AI24" s="878"/>
    </row>
    <row r="25" spans="1:35" s="863" customFormat="1" x14ac:dyDescent="0.25">
      <c r="A25" s="301"/>
      <c r="B25" s="141"/>
      <c r="C25" s="338" t="s">
        <v>617</v>
      </c>
      <c r="D25" s="347"/>
      <c r="E25" s="354">
        <f t="shared" si="4"/>
        <v>1</v>
      </c>
      <c r="F25" s="786">
        <f t="shared" si="5"/>
        <v>1</v>
      </c>
      <c r="G25" s="1219">
        <v>1</v>
      </c>
      <c r="H25" s="1219"/>
      <c r="I25" s="822"/>
      <c r="J25" s="141"/>
      <c r="K25" s="301"/>
      <c r="M25" s="497"/>
      <c r="N25" s="497"/>
      <c r="X25" s="882"/>
      <c r="Y25" s="879"/>
      <c r="Z25" s="880"/>
      <c r="AA25" s="880"/>
      <c r="AB25" s="880"/>
      <c r="AC25" s="880"/>
      <c r="AD25" s="874"/>
      <c r="AE25" s="881"/>
      <c r="AF25" s="880"/>
      <c r="AG25" s="880"/>
      <c r="AH25" s="880"/>
      <c r="AI25" s="880"/>
    </row>
    <row r="26" spans="1:35" s="863" customFormat="1" ht="15.75" thickBot="1" x14ac:dyDescent="0.3">
      <c r="A26" s="301"/>
      <c r="B26" s="141"/>
      <c r="C26" s="1213" t="s">
        <v>50</v>
      </c>
      <c r="D26" s="1214"/>
      <c r="E26" s="352">
        <f t="shared" si="4"/>
        <v>40</v>
      </c>
      <c r="F26" s="787">
        <f t="shared" si="5"/>
        <v>40</v>
      </c>
      <c r="G26" s="1220">
        <v>40</v>
      </c>
      <c r="H26" s="1220"/>
      <c r="I26" s="823"/>
      <c r="J26" s="141"/>
      <c r="K26" s="301"/>
      <c r="N26" s="497"/>
      <c r="X26" s="882"/>
      <c r="Y26" s="879"/>
      <c r="Z26" s="880"/>
      <c r="AA26" s="880"/>
      <c r="AB26" s="880"/>
      <c r="AC26" s="880"/>
      <c r="AD26" s="874"/>
      <c r="AE26" s="881"/>
      <c r="AF26" s="880"/>
      <c r="AG26" s="880"/>
      <c r="AH26" s="880"/>
      <c r="AI26" s="880"/>
    </row>
    <row r="27" spans="1:35" s="863" customFormat="1" x14ac:dyDescent="0.25">
      <c r="A27" s="301"/>
      <c r="B27" s="141"/>
      <c r="C27" s="56"/>
      <c r="D27" s="56"/>
      <c r="E27" s="56"/>
      <c r="F27" s="56"/>
      <c r="G27" s="56"/>
      <c r="H27" s="56"/>
      <c r="I27" s="56"/>
      <c r="J27" s="141"/>
      <c r="K27" s="301"/>
      <c r="X27" s="882"/>
      <c r="Y27" s="879"/>
      <c r="Z27" s="880"/>
      <c r="AA27" s="880"/>
      <c r="AB27" s="880"/>
      <c r="AC27" s="880"/>
      <c r="AD27" s="874"/>
      <c r="AE27" s="881"/>
      <c r="AF27" s="880"/>
      <c r="AG27" s="880"/>
      <c r="AH27" s="880"/>
      <c r="AI27" s="880"/>
    </row>
    <row r="28" spans="1:35" s="863" customFormat="1" ht="15.75" x14ac:dyDescent="0.25">
      <c r="A28" s="301"/>
      <c r="B28" s="141"/>
      <c r="C28" s="1202" t="s">
        <v>702</v>
      </c>
      <c r="D28" s="1202"/>
      <c r="E28" s="1202"/>
      <c r="F28" s="1202"/>
      <c r="G28" s="1215"/>
      <c r="H28" s="1215"/>
      <c r="I28" s="814"/>
      <c r="J28" s="815"/>
      <c r="K28" s="301"/>
      <c r="X28" s="882"/>
      <c r="Y28" s="879"/>
      <c r="Z28" s="880"/>
      <c r="AA28" s="880"/>
      <c r="AB28" s="880"/>
      <c r="AC28" s="880"/>
      <c r="AD28" s="874"/>
      <c r="AE28" s="881"/>
      <c r="AF28" s="880"/>
      <c r="AG28" s="880"/>
      <c r="AH28" s="880"/>
      <c r="AI28" s="880"/>
    </row>
    <row r="29" spans="1:35" s="863" customFormat="1" x14ac:dyDescent="0.25">
      <c r="A29" s="301"/>
      <c r="B29" s="141"/>
      <c r="C29" s="1222" t="s">
        <v>1</v>
      </c>
      <c r="D29" s="1222"/>
      <c r="E29" s="146"/>
      <c r="F29" s="146"/>
      <c r="G29" s="146"/>
      <c r="H29" s="141"/>
      <c r="I29" s="141"/>
      <c r="J29" s="141"/>
      <c r="K29" s="301"/>
      <c r="X29" s="882"/>
      <c r="Y29" s="882"/>
      <c r="Z29" s="883"/>
      <c r="AA29" s="883"/>
      <c r="AB29" s="883"/>
      <c r="AC29" s="883"/>
      <c r="AD29" s="874"/>
      <c r="AE29" s="884"/>
      <c r="AF29" s="883"/>
      <c r="AG29" s="883"/>
      <c r="AH29" s="883"/>
      <c r="AI29" s="883"/>
    </row>
    <row r="30" spans="1:35" s="863" customFormat="1" x14ac:dyDescent="0.25">
      <c r="A30" s="301"/>
      <c r="B30" s="141"/>
      <c r="C30" s="356" t="s">
        <v>69</v>
      </c>
      <c r="D30" s="356"/>
      <c r="E30" s="144">
        <v>10</v>
      </c>
      <c r="F30" s="144">
        <v>10</v>
      </c>
      <c r="G30" s="1211">
        <v>10</v>
      </c>
      <c r="H30" s="1211"/>
      <c r="I30" s="821"/>
      <c r="J30" s="141"/>
      <c r="K30" s="301"/>
      <c r="X30" s="882"/>
      <c r="Y30" s="882"/>
      <c r="Z30" s="882"/>
      <c r="AA30" s="882"/>
    </row>
    <row r="31" spans="1:35" s="863" customFormat="1" x14ac:dyDescent="0.25">
      <c r="A31" s="301"/>
      <c r="B31" s="136"/>
      <c r="C31" s="356" t="s">
        <v>71</v>
      </c>
      <c r="D31" s="356"/>
      <c r="E31" s="144">
        <v>250</v>
      </c>
      <c r="F31" s="144">
        <v>250</v>
      </c>
      <c r="G31" s="1211">
        <v>250</v>
      </c>
      <c r="H31" s="1211"/>
      <c r="I31" s="821"/>
      <c r="J31" s="141"/>
      <c r="K31" s="301"/>
      <c r="N31" s="497"/>
      <c r="X31" s="882"/>
      <c r="Y31" s="882"/>
      <c r="Z31" s="882"/>
      <c r="AA31" s="882"/>
    </row>
    <row r="32" spans="1:35" x14ac:dyDescent="0.25">
      <c r="A32" s="301"/>
      <c r="B32" s="136"/>
      <c r="C32" s="356" t="s">
        <v>676</v>
      </c>
      <c r="D32" s="356"/>
      <c r="E32" s="780">
        <f>G32</f>
        <v>0.98039215686274506</v>
      </c>
      <c r="F32" s="778">
        <f>G32</f>
        <v>0.98039215686274506</v>
      </c>
      <c r="G32" s="1212">
        <f>1/(1+E$23*(2-1))</f>
        <v>0.98039215686274506</v>
      </c>
      <c r="H32" s="1212"/>
      <c r="I32" s="821"/>
      <c r="J32" s="143"/>
      <c r="K32" s="301"/>
    </row>
    <row r="33" spans="1:28" x14ac:dyDescent="0.25">
      <c r="A33" s="301"/>
      <c r="B33" s="136"/>
      <c r="C33" s="1222" t="s">
        <v>2</v>
      </c>
      <c r="D33" s="1222"/>
      <c r="E33" s="795">
        <v>2010</v>
      </c>
      <c r="F33" s="795">
        <v>2020</v>
      </c>
      <c r="G33" s="489"/>
      <c r="H33" s="141"/>
      <c r="I33" s="141"/>
      <c r="J33" s="136"/>
      <c r="K33" s="301"/>
      <c r="AB33" s="872"/>
    </row>
    <row r="34" spans="1:28" x14ac:dyDescent="0.25">
      <c r="A34" s="301"/>
      <c r="B34" s="136"/>
      <c r="C34" s="362" t="s">
        <v>413</v>
      </c>
      <c r="D34" s="359"/>
      <c r="E34" s="14">
        <f>'2010ER'!AB4</f>
        <v>3750.9003016633078</v>
      </c>
      <c r="F34" s="14">
        <f>'2020ER'!AB4</f>
        <v>3291.8135998721814</v>
      </c>
      <c r="G34" s="1207">
        <f t="shared" ref="G34:G43" si="6">TREND(E34:F34,$E$33:$F$33,$G$7)</f>
        <v>3704.9916314841976</v>
      </c>
      <c r="H34" s="1207"/>
      <c r="I34" s="821"/>
      <c r="J34" s="136"/>
      <c r="K34" s="301"/>
      <c r="N34" s="885"/>
      <c r="Z34" s="1152"/>
    </row>
    <row r="35" spans="1:28" x14ac:dyDescent="0.25">
      <c r="A35" s="301"/>
      <c r="B35" s="136"/>
      <c r="C35" s="362" t="s">
        <v>417</v>
      </c>
      <c r="D35" s="359"/>
      <c r="E35" s="14">
        <f>'2010ER'!AB5</f>
        <v>2.9522376685274958</v>
      </c>
      <c r="F35" s="14">
        <f>'2020ER'!AB5</f>
        <v>0.93910805035104805</v>
      </c>
      <c r="G35" s="1207">
        <f t="shared" si="6"/>
        <v>2.7509247067098954</v>
      </c>
      <c r="H35" s="1207"/>
      <c r="I35" s="824"/>
      <c r="J35" s="136"/>
      <c r="K35" s="301"/>
      <c r="Z35" s="1153"/>
    </row>
    <row r="36" spans="1:28" x14ac:dyDescent="0.25">
      <c r="A36" s="301"/>
      <c r="B36" s="149"/>
      <c r="C36" s="362" t="s">
        <v>416</v>
      </c>
      <c r="D36" s="359"/>
      <c r="E36" s="14">
        <f>'2010ER'!AB6</f>
        <v>0.19839204428158921</v>
      </c>
      <c r="F36" s="14">
        <f>'2020ER'!AB6</f>
        <v>8.6560978266842434E-2</v>
      </c>
      <c r="G36" s="1207">
        <f t="shared" si="6"/>
        <v>0.18720893768011138</v>
      </c>
      <c r="H36" s="1207"/>
      <c r="I36" s="825"/>
      <c r="J36" s="261"/>
      <c r="K36" s="301"/>
      <c r="Y36" s="1153"/>
    </row>
    <row r="37" spans="1:28" s="886" customFormat="1" x14ac:dyDescent="0.25">
      <c r="A37" s="301"/>
      <c r="B37" s="149"/>
      <c r="C37" s="362" t="s">
        <v>415</v>
      </c>
      <c r="D37" s="359"/>
      <c r="E37" s="14">
        <f>'2010ER'!AB7</f>
        <v>5.755505625407392</v>
      </c>
      <c r="F37" s="14">
        <f>'2020ER'!AB7</f>
        <v>2.5860206751293329</v>
      </c>
      <c r="G37" s="1207">
        <f t="shared" si="6"/>
        <v>5.4385571303795359</v>
      </c>
      <c r="H37" s="1207"/>
      <c r="I37" s="822"/>
      <c r="J37" s="136"/>
      <c r="K37" s="301"/>
      <c r="N37" s="887"/>
      <c r="X37" s="1153"/>
      <c r="Y37" s="1153"/>
      <c r="Z37" s="1153"/>
      <c r="AA37" s="1153"/>
    </row>
    <row r="38" spans="1:28" s="886" customFormat="1" x14ac:dyDescent="0.25">
      <c r="A38" s="301"/>
      <c r="B38" s="136"/>
      <c r="C38" s="362" t="s">
        <v>414</v>
      </c>
      <c r="D38" s="359"/>
      <c r="E38" s="14">
        <f>'2010ER'!AB8</f>
        <v>2.7543105969503339</v>
      </c>
      <c r="F38" s="14">
        <f>'2020ER'!AB8</f>
        <v>0.61583922156998427</v>
      </c>
      <c r="G38" s="1207">
        <f t="shared" si="6"/>
        <v>2.5404634594122513</v>
      </c>
      <c r="H38" s="1207"/>
      <c r="I38" s="822"/>
      <c r="J38" s="136"/>
      <c r="K38" s="301"/>
      <c r="N38" s="887"/>
      <c r="X38" s="1153"/>
      <c r="Y38" s="882"/>
      <c r="Z38" s="1153"/>
      <c r="AA38" s="1153"/>
    </row>
    <row r="39" spans="1:28" x14ac:dyDescent="0.25">
      <c r="A39" s="301"/>
      <c r="B39" s="149"/>
      <c r="C39" s="363" t="s">
        <v>418</v>
      </c>
      <c r="D39" s="351"/>
      <c r="E39" s="207">
        <f>'2010ER'!AL4</f>
        <v>7722.351052989884</v>
      </c>
      <c r="F39" s="207">
        <f>'2020ER'!AL4</f>
        <v>7715.1016680449866</v>
      </c>
      <c r="G39" s="1207">
        <f t="shared" si="6"/>
        <v>7721.6261144953942</v>
      </c>
      <c r="H39" s="1207"/>
      <c r="I39" s="822"/>
      <c r="J39" s="136"/>
      <c r="K39" s="301"/>
      <c r="Y39" s="1153"/>
      <c r="Z39" s="1153"/>
    </row>
    <row r="40" spans="1:28" s="886" customFormat="1" x14ac:dyDescent="0.25">
      <c r="A40" s="301"/>
      <c r="B40" s="149"/>
      <c r="C40" s="363" t="s">
        <v>422</v>
      </c>
      <c r="D40" s="351"/>
      <c r="E40" s="207">
        <f>'2010ER'!AL5</f>
        <v>71.266992895654184</v>
      </c>
      <c r="F40" s="207">
        <f>'2020ER'!AL5</f>
        <v>28.755957883996196</v>
      </c>
      <c r="G40" s="1207">
        <f t="shared" si="6"/>
        <v>67.015889394489932</v>
      </c>
      <c r="H40" s="1207"/>
      <c r="I40" s="822"/>
      <c r="J40" s="246"/>
      <c r="K40" s="301"/>
      <c r="N40" s="887"/>
      <c r="X40" s="1153"/>
      <c r="Y40" s="882"/>
      <c r="Z40" s="882"/>
      <c r="AA40" s="1153"/>
    </row>
    <row r="41" spans="1:28" s="886" customFormat="1" x14ac:dyDescent="0.25">
      <c r="A41" s="301"/>
      <c r="B41" s="149"/>
      <c r="C41" s="363" t="s">
        <v>421</v>
      </c>
      <c r="D41" s="351"/>
      <c r="E41" s="207">
        <f>'2010ER'!AL6</f>
        <v>4.0096486656834633</v>
      </c>
      <c r="F41" s="207">
        <f>'2020ER'!AL6</f>
        <v>1.7179219731119526</v>
      </c>
      <c r="G41" s="1207">
        <f t="shared" si="6"/>
        <v>3.7804759964263326</v>
      </c>
      <c r="H41" s="1207"/>
      <c r="I41" s="826"/>
      <c r="J41" s="247"/>
      <c r="K41" s="301"/>
      <c r="N41" s="887"/>
      <c r="X41" s="1153"/>
      <c r="Y41" s="884"/>
      <c r="Z41" s="884"/>
      <c r="AA41" s="1153"/>
    </row>
    <row r="42" spans="1:28" s="886" customFormat="1" x14ac:dyDescent="0.25">
      <c r="A42" s="301"/>
      <c r="B42" s="136"/>
      <c r="C42" s="363" t="s">
        <v>420</v>
      </c>
      <c r="D42" s="351"/>
      <c r="E42" s="207">
        <f>'2010ER'!AL7</f>
        <v>62.401660342818353</v>
      </c>
      <c r="F42" s="207">
        <f>'2020ER'!AL7</f>
        <v>26.2668373090216</v>
      </c>
      <c r="G42" s="1207">
        <f t="shared" si="6"/>
        <v>58.788178039438208</v>
      </c>
      <c r="H42" s="1207"/>
      <c r="I42" s="826"/>
      <c r="J42" s="149"/>
      <c r="K42" s="301"/>
      <c r="N42" s="887"/>
      <c r="O42" s="885"/>
      <c r="P42" s="888"/>
      <c r="R42" s="885"/>
      <c r="S42" s="888"/>
      <c r="X42" s="1153"/>
      <c r="Y42" s="884"/>
      <c r="Z42" s="884"/>
      <c r="AA42" s="1153"/>
    </row>
    <row r="43" spans="1:28" x14ac:dyDescent="0.25">
      <c r="A43" s="301"/>
      <c r="B43" s="143"/>
      <c r="C43" s="363" t="s">
        <v>419</v>
      </c>
      <c r="D43" s="351"/>
      <c r="E43" s="207">
        <f>'2010ER'!AL8</f>
        <v>12.077454219452086</v>
      </c>
      <c r="F43" s="207">
        <f>'2020ER'!AL8</f>
        <v>4.984839851937636</v>
      </c>
      <c r="G43" s="1207">
        <f t="shared" si="6"/>
        <v>11.368192782700589</v>
      </c>
      <c r="H43" s="1207"/>
      <c r="I43" s="821"/>
      <c r="J43" s="136"/>
      <c r="K43" s="301"/>
      <c r="O43" s="862"/>
      <c r="P43" s="862"/>
      <c r="Y43" s="884"/>
      <c r="Z43" s="884"/>
    </row>
    <row r="44" spans="1:28" s="862" customFormat="1" x14ac:dyDescent="0.25">
      <c r="A44" s="301"/>
      <c r="B44" s="143"/>
      <c r="C44" s="250"/>
      <c r="D44" s="224"/>
      <c r="E44" s="251"/>
      <c r="F44" s="251"/>
      <c r="G44" s="798"/>
      <c r="H44" s="798"/>
      <c r="I44" s="141"/>
      <c r="J44" s="136"/>
      <c r="K44" s="301"/>
      <c r="X44" s="884"/>
      <c r="Y44" s="882"/>
      <c r="Z44" s="882"/>
      <c r="AA44" s="884"/>
    </row>
    <row r="45" spans="1:28" s="862" customFormat="1" ht="15.75" x14ac:dyDescent="0.25">
      <c r="A45" s="301"/>
      <c r="B45" s="140"/>
      <c r="C45" s="1208" t="s">
        <v>700</v>
      </c>
      <c r="D45" s="1208"/>
      <c r="E45" s="1208"/>
      <c r="F45" s="1208"/>
      <c r="G45" s="1208"/>
      <c r="H45" s="1208"/>
      <c r="I45" s="1208"/>
      <c r="J45" s="140"/>
      <c r="K45" s="301"/>
      <c r="O45" s="858"/>
      <c r="P45" s="858"/>
      <c r="X45" s="884"/>
      <c r="Y45" s="500"/>
      <c r="Z45" s="500"/>
      <c r="AA45" s="884"/>
    </row>
    <row r="46" spans="1:28" s="862" customFormat="1" x14ac:dyDescent="0.25">
      <c r="A46" s="301"/>
      <c r="B46" s="143"/>
      <c r="C46" s="300" t="s">
        <v>725</v>
      </c>
      <c r="D46" s="66"/>
      <c r="E46" s="66"/>
      <c r="F46" s="66"/>
      <c r="G46" s="1209" t="s">
        <v>710</v>
      </c>
      <c r="H46" s="1209"/>
      <c r="I46" s="851"/>
      <c r="J46" s="143"/>
      <c r="K46" s="301"/>
      <c r="M46" s="889"/>
      <c r="N46" s="861"/>
      <c r="O46" s="890"/>
      <c r="P46" s="890"/>
      <c r="T46" s="858"/>
      <c r="U46" s="858"/>
      <c r="X46" s="884"/>
      <c r="Y46" s="500"/>
      <c r="Z46" s="500"/>
      <c r="AA46" s="884"/>
    </row>
    <row r="47" spans="1:28" ht="33.75" customHeight="1" x14ac:dyDescent="0.25">
      <c r="A47" s="301"/>
      <c r="B47" s="136"/>
      <c r="C47" s="852" t="s">
        <v>653</v>
      </c>
      <c r="D47" s="853" t="s">
        <v>611</v>
      </c>
      <c r="E47" s="854"/>
      <c r="F47" s="855"/>
      <c r="G47" s="853" t="s">
        <v>613</v>
      </c>
      <c r="H47" s="853" t="s">
        <v>614</v>
      </c>
      <c r="I47" s="856" t="s">
        <v>612</v>
      </c>
      <c r="J47" s="136"/>
      <c r="K47" s="301"/>
      <c r="Y47" s="500"/>
      <c r="Z47" s="500"/>
    </row>
    <row r="48" spans="1:28" s="500" customFormat="1" x14ac:dyDescent="0.25">
      <c r="A48" s="301"/>
      <c r="B48" s="116"/>
      <c r="C48" s="347" t="s">
        <v>654</v>
      </c>
      <c r="D48" s="857"/>
      <c r="E48" s="143"/>
      <c r="F48" s="143"/>
      <c r="G48" s="148">
        <f>(G16*G18/$E$24)/G$32</f>
        <v>77.305263157894743</v>
      </c>
      <c r="H48" s="148">
        <f>(IF(G9=0,0,G12-(G12*G13)-(G12*G14))/$G$24)/G$32</f>
        <v>36.290526315789471</v>
      </c>
      <c r="I48" s="148">
        <f>(G19*G20/$G$24)/G$32</f>
        <v>146.02105263157895</v>
      </c>
      <c r="J48" s="116"/>
      <c r="K48" s="301"/>
    </row>
    <row r="49" spans="1:27" s="500" customFormat="1" x14ac:dyDescent="0.25">
      <c r="A49" s="301"/>
      <c r="B49" s="116"/>
      <c r="C49" s="347" t="s">
        <v>655</v>
      </c>
      <c r="D49" s="148">
        <f>(G9*G10/$G$24)/G$32</f>
        <v>306.76691729323312</v>
      </c>
      <c r="E49" s="140"/>
      <c r="F49" s="140"/>
      <c r="G49" s="857"/>
      <c r="H49" s="148">
        <f>(G12*G14/$G$24)/G$32</f>
        <v>72.58105263157897</v>
      </c>
      <c r="I49" s="148">
        <f>(IF(G16=0,0,G19-(G19*G20)-(G19*G21))/$G$24)/G$32</f>
        <v>260.10000000000002</v>
      </c>
      <c r="J49" s="116"/>
      <c r="K49" s="301"/>
    </row>
    <row r="50" spans="1:27" s="500" customFormat="1" x14ac:dyDescent="0.25">
      <c r="A50" s="301"/>
      <c r="B50" s="116"/>
      <c r="C50" s="347" t="s">
        <v>656</v>
      </c>
      <c r="D50" s="148">
        <f>(IF(G12=0,0,G9-(G10*G9)-(G11*G9))/$G$24)/G$32</f>
        <v>47.548872180451127</v>
      </c>
      <c r="E50" s="143"/>
      <c r="F50" s="143"/>
      <c r="G50" s="148">
        <f>(G16*G17/$E$24)/G$32</f>
        <v>257.68421052631584</v>
      </c>
      <c r="H50" s="857"/>
      <c r="I50" s="148">
        <f>(G19*G21/$G$24)/G$32</f>
        <v>50.194736842105264</v>
      </c>
      <c r="J50" s="116"/>
      <c r="K50" s="301"/>
      <c r="Y50" s="1154"/>
      <c r="Z50" s="1154"/>
    </row>
    <row r="51" spans="1:27" s="500" customFormat="1" x14ac:dyDescent="0.25">
      <c r="A51" s="301"/>
      <c r="B51" s="116"/>
      <c r="C51" s="347" t="s">
        <v>657</v>
      </c>
      <c r="D51" s="148">
        <f>(G9*G11/$G$24)/G$32</f>
        <v>182.5263157894737</v>
      </c>
      <c r="E51" s="136"/>
      <c r="F51" s="139"/>
      <c r="G51" s="148">
        <f>(IF(G19=0,0,G16-(G16*E17)-(G16*G18))/$G$24)/G$32</f>
        <v>309.22105263157897</v>
      </c>
      <c r="H51" s="148">
        <f>(G12*G13/$G$24)/G$32</f>
        <v>30.707368421052635</v>
      </c>
      <c r="I51" s="857"/>
      <c r="J51" s="116"/>
      <c r="K51" s="301"/>
      <c r="Y51" s="1154"/>
      <c r="Z51" s="1154"/>
    </row>
    <row r="52" spans="1:27" s="500" customFormat="1" x14ac:dyDescent="0.25">
      <c r="A52" s="301"/>
      <c r="B52" s="116"/>
      <c r="C52" s="195"/>
      <c r="D52" s="195"/>
      <c r="E52" s="118"/>
      <c r="F52" s="118"/>
      <c r="G52" s="195"/>
      <c r="H52" s="195"/>
      <c r="I52" s="195"/>
      <c r="J52" s="116"/>
      <c r="K52" s="301"/>
      <c r="Y52" s="1154"/>
      <c r="Z52" s="1154"/>
    </row>
    <row r="53" spans="1:27" s="861" customFormat="1" x14ac:dyDescent="0.25">
      <c r="A53" s="301"/>
      <c r="B53" s="139"/>
      <c r="C53" s="347" t="s">
        <v>669</v>
      </c>
      <c r="D53" s="148">
        <f>SUM(D$48:D$51)</f>
        <v>536.84210526315792</v>
      </c>
      <c r="E53" s="116"/>
      <c r="F53" s="116"/>
      <c r="G53" s="148">
        <f>SUM(G$48:G$51)</f>
        <v>644.21052631578959</v>
      </c>
      <c r="H53" s="148">
        <f>SUM(H$48:H$51)</f>
        <v>139.5789473684211</v>
      </c>
      <c r="I53" s="148">
        <f>SUM(I$48:I$51)</f>
        <v>456.31578947368428</v>
      </c>
      <c r="J53" s="139"/>
      <c r="K53" s="301"/>
      <c r="X53" s="1154"/>
      <c r="Y53" s="1154"/>
      <c r="Z53" s="1154"/>
      <c r="AA53" s="1154"/>
    </row>
    <row r="54" spans="1:27" s="861" customFormat="1" x14ac:dyDescent="0.25">
      <c r="A54" s="301"/>
      <c r="B54" s="139"/>
      <c r="C54" s="347" t="s">
        <v>670</v>
      </c>
      <c r="D54" s="148">
        <f>IF(D53=0,"",SUM(G50:G51,H51))</f>
        <v>597.61263157894734</v>
      </c>
      <c r="E54" s="116"/>
      <c r="F54" s="116"/>
      <c r="G54" s="148">
        <f>IF(G53=0,"",SUM(I48,H48,H51))</f>
        <v>213.01894736842104</v>
      </c>
      <c r="H54" s="148">
        <f>IF(H53=0,"",SUM(D49,I48:I49))</f>
        <v>712.88796992481207</v>
      </c>
      <c r="I54" s="148">
        <f>IF(I53=0,"",SUM(D49:D50,G50))</f>
        <v>612.00000000000011</v>
      </c>
      <c r="J54" s="139"/>
      <c r="K54" s="301"/>
      <c r="X54" s="1154"/>
      <c r="Y54" s="1154"/>
      <c r="Z54" s="1154"/>
      <c r="AA54" s="1154"/>
    </row>
    <row r="55" spans="1:27" s="861" customFormat="1" x14ac:dyDescent="0.25">
      <c r="A55" s="301"/>
      <c r="B55" s="139"/>
      <c r="C55" s="1221"/>
      <c r="D55" s="1221"/>
      <c r="E55" s="137"/>
      <c r="F55" s="137"/>
      <c r="G55" s="137"/>
      <c r="H55" s="139"/>
      <c r="I55" s="139"/>
      <c r="J55" s="139"/>
      <c r="K55" s="301"/>
      <c r="X55" s="1154"/>
      <c r="Y55" s="1154"/>
      <c r="Z55" s="1154"/>
      <c r="AA55" s="1154"/>
    </row>
    <row r="56" spans="1:27" s="861" customFormat="1" x14ac:dyDescent="0.25">
      <c r="A56" s="301"/>
      <c r="B56" s="139"/>
      <c r="C56" s="347" t="s">
        <v>672</v>
      </c>
      <c r="D56" s="347"/>
      <c r="E56" s="245">
        <f>IF($D$54="","",IF($G$25=1,(1130*EXP(-0.001*$D$54)),IF($G$25=2,(1130*EXP(-0.000725*$D$54)))))</f>
        <v>621.63946108810194</v>
      </c>
      <c r="F56" s="793">
        <f>IF($D$54="","",IF($F$25=1,(1130*EXP(-0.001*$D$54)),IF($F$25=2,(1130*EXP(-0.000725*$D$54)))))</f>
        <v>621.63946108810194</v>
      </c>
      <c r="G56" s="1204">
        <f>IF($D$54="","",IF($G$25=1,(1130*EXP(-0.001*$D$54)),IF($G$25=2,(1130*EXP(-0.000725*$D$54)))))</f>
        <v>621.63946108810194</v>
      </c>
      <c r="H56" s="1204"/>
      <c r="I56" s="848"/>
      <c r="J56" s="139"/>
      <c r="K56" s="301"/>
      <c r="X56" s="1154"/>
      <c r="Y56" s="1154"/>
      <c r="Z56" s="1154"/>
      <c r="AA56" s="1154"/>
    </row>
    <row r="57" spans="1:27" s="861" customFormat="1" x14ac:dyDescent="0.25">
      <c r="A57" s="301"/>
      <c r="B57" s="139"/>
      <c r="C57" s="347" t="s">
        <v>673</v>
      </c>
      <c r="D57" s="347"/>
      <c r="E57" s="245">
        <f>IF($H$54="","",IF($G$25=1,(1130*EXP(-0.001*$H$54)),IF($G$25=2,(1130*EXP(-0.000725*$H$54)))))</f>
        <v>553.95582305046491</v>
      </c>
      <c r="F57" s="793">
        <f>IF($H$54="","",IF($F$25=1,(1130*EXP(-0.001*$H$54)),IF($F$25=2,(1130*EXP(-0.000725*$H$54)))))</f>
        <v>553.95582305046491</v>
      </c>
      <c r="G57" s="1204">
        <f>IF($H$54="","",IF($G$25=1,(1130*EXP(-0.001*$H$54)),IF($G$25=2,(1130*EXP(-0.000725*$H$54)))))</f>
        <v>553.95582305046491</v>
      </c>
      <c r="H57" s="1204"/>
      <c r="I57" s="848"/>
      <c r="J57" s="139"/>
      <c r="K57" s="301"/>
      <c r="X57" s="1154"/>
      <c r="Y57" s="882"/>
      <c r="Z57" s="882"/>
      <c r="AA57" s="1154"/>
    </row>
    <row r="58" spans="1:27" s="861" customFormat="1" x14ac:dyDescent="0.25">
      <c r="A58" s="301"/>
      <c r="B58" s="139"/>
      <c r="C58" s="347" t="s">
        <v>674</v>
      </c>
      <c r="D58" s="347"/>
      <c r="E58" s="245">
        <f>IF($G$54="","",IF($G$25=1,(1130*EXP(-0.001*$G$54)),IF($G$25=2,(1130*EXP(-0.000725*$G$54)))))</f>
        <v>913.19913217031126</v>
      </c>
      <c r="F58" s="793">
        <f>IF($G$54="","",IF($F$25=1,(1130*EXP(-0.001*$G$54)),IF($F$25=2,(1130*EXP(-0.000725*$G$54)))))</f>
        <v>913.19913217031126</v>
      </c>
      <c r="G58" s="1204">
        <f>IF($G$54="","",IF($G$25=1,(1130*EXP(-0.001*$G$54)),IF($G$25=2,(1130*EXP(-0.000725*$G$54)))))</f>
        <v>913.19913217031126</v>
      </c>
      <c r="H58" s="1204"/>
      <c r="I58" s="849"/>
      <c r="J58" s="139"/>
      <c r="K58" s="301"/>
      <c r="M58" s="858"/>
      <c r="N58" s="858"/>
      <c r="X58" s="1154"/>
      <c r="Y58" s="882"/>
      <c r="Z58" s="882"/>
      <c r="AA58" s="1154"/>
    </row>
    <row r="59" spans="1:27" s="861" customFormat="1" x14ac:dyDescent="0.25">
      <c r="A59" s="301"/>
      <c r="B59" s="139"/>
      <c r="C59" s="347" t="s">
        <v>675</v>
      </c>
      <c r="D59" s="347"/>
      <c r="E59" s="245">
        <f>IF($I$54="","",IF($G$25=1,(1130*EXP(-0.001*$I$54)),IF($G$25=2,(1130*EXP(-0.000725*$I$54)))))</f>
        <v>612.75973624480093</v>
      </c>
      <c r="F59" s="793">
        <f>IF($I$54="","",IF($F$25=1,(1130*EXP(-0.001*$I$54)),IF($F$25=2,(1130*EXP(-0.000725*$I$54)))))</f>
        <v>612.75973624480093</v>
      </c>
      <c r="G59" s="1204">
        <f>IF($I$54="","",IF($G$25=1,(1130*EXP(-0.001*$I$54)),IF($G$25=2,(1130*EXP(-0.000725*$I$54)))))</f>
        <v>612.75973624480093</v>
      </c>
      <c r="H59" s="1204"/>
      <c r="I59" s="849"/>
      <c r="J59" s="258"/>
      <c r="K59" s="301"/>
      <c r="M59" s="858"/>
      <c r="N59" s="858"/>
      <c r="X59" s="1154"/>
      <c r="Y59" s="882"/>
      <c r="Z59" s="882"/>
      <c r="AA59" s="1154"/>
    </row>
    <row r="60" spans="1:27" x14ac:dyDescent="0.25">
      <c r="A60" s="301"/>
      <c r="B60" s="136"/>
      <c r="C60" s="347" t="s">
        <v>677</v>
      </c>
      <c r="D60" s="347"/>
      <c r="E60" s="248">
        <f>IF(E56="","",(($D$53*$E$32)/(E56*$E$32)))</f>
        <v>0.86359077707757337</v>
      </c>
      <c r="F60" s="794">
        <f>IF(F56="","",(($D$53*F$32)/(F56*F$32)))</f>
        <v>0.86359077707757337</v>
      </c>
      <c r="G60" s="1205">
        <f>IF(G56="","",(($D$53*G$32)/(G56*G$32)))</f>
        <v>0.86359077707757337</v>
      </c>
      <c r="H60" s="1205"/>
      <c r="I60" s="848"/>
      <c r="J60" s="258"/>
      <c r="K60" s="301"/>
    </row>
    <row r="61" spans="1:27" x14ac:dyDescent="0.25">
      <c r="A61" s="301"/>
      <c r="B61" s="136"/>
      <c r="C61" s="347" t="s">
        <v>678</v>
      </c>
      <c r="D61" s="347"/>
      <c r="E61" s="248">
        <f>IF(E57="","",(($H$53*$E$32)/(E57*$E$32)))</f>
        <v>0.25196765077728156</v>
      </c>
      <c r="F61" s="794">
        <f>IF(F57="","",(($H$53*F$32)/(F57*F$32)))</f>
        <v>0.25196765077728156</v>
      </c>
      <c r="G61" s="1205">
        <f>IF(G57="","",(($H$53*G$32)/(G57*G$32)))</f>
        <v>0.25196765077728156</v>
      </c>
      <c r="H61" s="1205"/>
      <c r="I61" s="850"/>
      <c r="J61" s="258"/>
      <c r="K61" s="301"/>
    </row>
    <row r="62" spans="1:27" x14ac:dyDescent="0.25">
      <c r="A62" s="301"/>
      <c r="B62" s="136"/>
      <c r="C62" s="347" t="s">
        <v>679</v>
      </c>
      <c r="D62" s="347"/>
      <c r="E62" s="248">
        <f>IF(E58="","",(($G$53*$E$32)/(E58*$E$32)))</f>
        <v>0.7054436470879657</v>
      </c>
      <c r="F62" s="794">
        <f>IF(F58="","",(($G$53*F$32)/(F58*F$32)))</f>
        <v>0.7054436470879657</v>
      </c>
      <c r="G62" s="1205">
        <f>IF(G58="","",(($G$53*$G$32)/(G58*$G$32)))</f>
        <v>0.7054436470879657</v>
      </c>
      <c r="H62" s="1205"/>
      <c r="I62" s="588"/>
      <c r="J62" s="136"/>
      <c r="K62" s="301"/>
    </row>
    <row r="63" spans="1:27" x14ac:dyDescent="0.25">
      <c r="A63" s="301"/>
      <c r="B63" s="136"/>
      <c r="C63" s="347" t="s">
        <v>680</v>
      </c>
      <c r="D63" s="347"/>
      <c r="E63" s="248">
        <f>IF(E59="","",(($I$53*$E$32)/(E59*$E$32)))</f>
        <v>0.74468957812101344</v>
      </c>
      <c r="F63" s="794">
        <f>IF(F59="","",(($I$53*F$32)/(F59*F$32)))</f>
        <v>0.74468957812101344</v>
      </c>
      <c r="G63" s="1205">
        <f>IF(G59="","",(($I$53*$G$32)/(G59*$G$32)))</f>
        <v>0.74468957812101344</v>
      </c>
      <c r="H63" s="1205"/>
      <c r="I63" s="588"/>
      <c r="J63" s="136"/>
      <c r="K63" s="301"/>
    </row>
    <row r="64" spans="1:27" x14ac:dyDescent="0.25">
      <c r="A64" s="301"/>
      <c r="B64" s="136"/>
      <c r="C64" s="1221" t="s">
        <v>629</v>
      </c>
      <c r="D64" s="1221"/>
      <c r="E64" s="137"/>
      <c r="F64" s="137"/>
      <c r="G64" s="137"/>
      <c r="H64" s="116"/>
      <c r="I64" s="116"/>
      <c r="J64" s="136"/>
      <c r="K64" s="301"/>
    </row>
    <row r="65" spans="1:11" x14ac:dyDescent="0.25">
      <c r="A65" s="301"/>
      <c r="B65" s="136"/>
      <c r="C65" s="347" t="s">
        <v>658</v>
      </c>
      <c r="D65" s="347"/>
      <c r="E65" s="147">
        <f>IF(E56="",0,(3600/E56)+(900*0.25*(E60-1+SQRT((E60-1)^2+(((3600/E56)*E60)/(450*0.25)))))+5*MIN(E60,1))</f>
        <v>35.919508427936634</v>
      </c>
      <c r="F65" s="792">
        <f t="shared" ref="F65" si="7">IF(F56="",0,(3600/F56)+(900*0.25*(F60-1+SQRT((F60-1)^2+(((3600/F56)*F60)/(450*0.25)))))+5*MIN(F60,1))</f>
        <v>35.919508427936634</v>
      </c>
      <c r="G65" s="1205">
        <f>IF(G56="",0,(3600/G56)+(900*0.25*(G60-1+SQRT((G60-1)^2+(((3600/G56)*G60)/(450*0.25)))))+5*MIN(G60,1))</f>
        <v>35.919508427936634</v>
      </c>
      <c r="H65" s="1205"/>
      <c r="I65" s="844"/>
      <c r="J65" s="136"/>
      <c r="K65" s="301"/>
    </row>
    <row r="66" spans="1:11" x14ac:dyDescent="0.25">
      <c r="A66" s="301"/>
      <c r="B66" s="136"/>
      <c r="C66" s="347" t="s">
        <v>659</v>
      </c>
      <c r="D66" s="347"/>
      <c r="E66" s="147">
        <f t="shared" ref="E66:G66" si="8">IF(E57="",0,(3600/E57)+(900*0.25*(E61-1+SQRT((E61-1)^2+(((3600/E57)*E61)/(450*0.25)))))+5*MIN(E61,1))</f>
        <v>9.9335284936121493</v>
      </c>
      <c r="F66" s="792">
        <f t="shared" si="8"/>
        <v>9.9335284936121493</v>
      </c>
      <c r="G66" s="1205">
        <f t="shared" si="8"/>
        <v>9.9335284936121493</v>
      </c>
      <c r="H66" s="1205"/>
      <c r="I66" s="588"/>
      <c r="J66" s="136"/>
      <c r="K66" s="301"/>
    </row>
    <row r="67" spans="1:11" x14ac:dyDescent="0.25">
      <c r="A67" s="301"/>
      <c r="B67" s="136"/>
      <c r="C67" s="347" t="s">
        <v>660</v>
      </c>
      <c r="D67" s="347"/>
      <c r="E67" s="147">
        <f t="shared" ref="E67:G67" si="9">IF(E58="",0,(3600/E58)+(900*0.25*(E62-1+SQRT((E62-1)^2+(((3600/E58)*E62)/(450*0.25)))))+5*MIN(E62,1))</f>
        <v>16.319749848225058</v>
      </c>
      <c r="F67" s="792">
        <f t="shared" si="9"/>
        <v>16.319749848225058</v>
      </c>
      <c r="G67" s="1205">
        <f t="shared" si="9"/>
        <v>16.319749848225058</v>
      </c>
      <c r="H67" s="1205"/>
      <c r="I67" s="588"/>
      <c r="J67" s="136"/>
      <c r="K67" s="301"/>
    </row>
    <row r="68" spans="1:11" x14ac:dyDescent="0.25">
      <c r="A68" s="301"/>
      <c r="B68" s="136"/>
      <c r="C68" s="347" t="s">
        <v>661</v>
      </c>
      <c r="D68" s="347"/>
      <c r="E68" s="147">
        <f>IF(E59="",0,(3600/E59)+(900*0.25*(E63-1+SQRT((E63-1)^2+(((3600/E59)*E63)/(450*0.25)))))+5*MIN(E63,1))</f>
        <v>24.739496418022959</v>
      </c>
      <c r="F68" s="792">
        <f t="shared" ref="F68:G68" si="10">IF(F59="",0,(3600/F59)+(900*0.25*(F63-1+SQRT((F63-1)^2+(((3600/F59)*F63)/(450*0.25)))))+5*MIN(F63,1))</f>
        <v>24.739496418022959</v>
      </c>
      <c r="G68" s="1205">
        <f t="shared" si="10"/>
        <v>24.739496418022959</v>
      </c>
      <c r="H68" s="1205"/>
      <c r="I68" s="845"/>
      <c r="J68" s="258"/>
      <c r="K68" s="301"/>
    </row>
    <row r="69" spans="1:11" x14ac:dyDescent="0.25">
      <c r="A69" s="301"/>
      <c r="B69" s="136"/>
      <c r="C69" s="348" t="s">
        <v>87</v>
      </c>
      <c r="D69" s="347"/>
      <c r="E69" s="147">
        <f>(G9*E65+E12*E66+E16*E67+E19*E68)/(G9+E12+E16+E19)</f>
        <v>23.901660909204043</v>
      </c>
      <c r="F69" s="792">
        <f>(F9*F65+F12*F66+F16*F67+F19*F68)/(F9+F12+F16+F19)</f>
        <v>23.901660909204043</v>
      </c>
      <c r="G69" s="1205">
        <f>(G9*G65+G12*G66+G16*G67+G19*G68)/(G9+G12+G16+G19)</f>
        <v>23.901660909204043</v>
      </c>
      <c r="H69" s="1205"/>
      <c r="I69" s="846"/>
      <c r="J69" s="258"/>
      <c r="K69" s="301"/>
    </row>
    <row r="70" spans="1:11" x14ac:dyDescent="0.25">
      <c r="A70" s="301"/>
      <c r="B70" s="136"/>
      <c r="C70" s="359" t="s">
        <v>88</v>
      </c>
      <c r="D70" s="347"/>
      <c r="E70" s="147">
        <f>(SUM(G9,E12,E16,E19)*E$26)/3600</f>
        <v>18.388888888888889</v>
      </c>
      <c r="F70" s="792">
        <f>(SUM(F9,F12,F16,F19)*F$26)/3600</f>
        <v>18.388888888888889</v>
      </c>
      <c r="G70" s="1205">
        <f>(SUM(G9,G12,G16,G19)*G$26)/3600</f>
        <v>18.388888888888889</v>
      </c>
      <c r="H70" s="1205"/>
      <c r="I70" s="847"/>
      <c r="J70" s="136"/>
      <c r="K70" s="301"/>
    </row>
    <row r="71" spans="1:11" x14ac:dyDescent="0.25">
      <c r="A71" s="301"/>
      <c r="B71" s="136"/>
      <c r="C71" s="359" t="s">
        <v>89</v>
      </c>
      <c r="D71" s="347"/>
      <c r="E71" s="147">
        <f>(SUM(G9,E12,E16,E19)*E$69)/3600</f>
        <v>10.988124667981303</v>
      </c>
      <c r="F71" s="792">
        <f>(SUM(F9,F12,F16,F19)*F$69)/3600</f>
        <v>10.988124667981303</v>
      </c>
      <c r="G71" s="1205">
        <f>(SUM(G9,G12,G16,G19)*G$69)/3600</f>
        <v>10.988124667981303</v>
      </c>
      <c r="H71" s="1205"/>
      <c r="I71" s="841"/>
      <c r="J71" s="136"/>
      <c r="K71" s="301"/>
    </row>
    <row r="72" spans="1:11" x14ac:dyDescent="0.25">
      <c r="A72" s="301"/>
      <c r="B72" s="136"/>
      <c r="C72" s="29"/>
      <c r="D72" s="195"/>
      <c r="E72" s="137"/>
      <c r="F72" s="137"/>
      <c r="G72" s="137"/>
      <c r="H72" s="136"/>
      <c r="I72" s="136"/>
      <c r="J72" s="136"/>
      <c r="K72" s="301"/>
    </row>
    <row r="73" spans="1:11" x14ac:dyDescent="0.25">
      <c r="A73" s="301"/>
      <c r="B73" s="136"/>
      <c r="C73" s="359" t="s">
        <v>387</v>
      </c>
      <c r="D73" s="347"/>
      <c r="E73" s="253">
        <f t="shared" ref="E73:G77" si="11">E$30*((E$70*(1-E$23)*E34))+(E$70*E$23*E39)</f>
        <v>678794.02013923507</v>
      </c>
      <c r="F73" s="791">
        <f t="shared" si="11"/>
        <v>596058.82935043552</v>
      </c>
      <c r="G73" s="1206">
        <f>G$30*((G$70*(1-G$23)*G34))+(G$70*G$23*G39)</f>
        <v>670520.50106035557</v>
      </c>
      <c r="H73" s="1206"/>
      <c r="I73" s="841"/>
      <c r="J73" s="136"/>
      <c r="K73" s="301"/>
    </row>
    <row r="74" spans="1:11" x14ac:dyDescent="0.25">
      <c r="A74" s="301"/>
      <c r="B74" s="136"/>
      <c r="C74" s="359" t="s">
        <v>633</v>
      </c>
      <c r="D74" s="347"/>
      <c r="E74" s="253">
        <f t="shared" si="11"/>
        <v>558.23644678548453</v>
      </c>
      <c r="F74" s="791">
        <f t="shared" si="11"/>
        <v>179.81350749559914</v>
      </c>
      <c r="G74" s="1206">
        <f t="shared" si="11"/>
        <v>520.39415285650455</v>
      </c>
      <c r="H74" s="1206"/>
      <c r="I74" s="841"/>
      <c r="J74" s="136"/>
      <c r="K74" s="301"/>
    </row>
    <row r="75" spans="1:11" x14ac:dyDescent="0.25">
      <c r="A75" s="301"/>
      <c r="B75" s="136"/>
      <c r="C75" s="359" t="s">
        <v>389</v>
      </c>
      <c r="D75" s="347"/>
      <c r="E75" s="253">
        <f t="shared" si="11"/>
        <v>37.227110411524649</v>
      </c>
      <c r="F75" s="791">
        <f t="shared" si="11"/>
        <v>16.231063597999146</v>
      </c>
      <c r="G75" s="1206">
        <f t="shared" si="11"/>
        <v>35.127505730171535</v>
      </c>
      <c r="H75" s="1206"/>
      <c r="I75" s="841"/>
      <c r="J75" s="136"/>
      <c r="K75" s="301"/>
    </row>
    <row r="76" spans="1:11" x14ac:dyDescent="0.25">
      <c r="A76" s="301"/>
      <c r="B76" s="136"/>
      <c r="C76" s="359" t="s">
        <v>634</v>
      </c>
      <c r="D76" s="347"/>
      <c r="E76" s="253">
        <f t="shared" si="11"/>
        <v>1060.1560077314421</v>
      </c>
      <c r="F76" s="791">
        <f t="shared" si="11"/>
        <v>475.69001827612516</v>
      </c>
      <c r="G76" s="1206">
        <f t="shared" si="11"/>
        <v>1001.709408785901</v>
      </c>
      <c r="H76" s="1206"/>
      <c r="I76" s="841"/>
      <c r="J76" s="136"/>
      <c r="K76" s="301"/>
    </row>
    <row r="77" spans="1:11" x14ac:dyDescent="0.25">
      <c r="A77" s="301"/>
      <c r="B77" s="136"/>
      <c r="C77" s="359" t="s">
        <v>388</v>
      </c>
      <c r="D77" s="347"/>
      <c r="E77" s="253">
        <f t="shared" si="11"/>
        <v>500.79919229557032</v>
      </c>
      <c r="F77" s="791">
        <f t="shared" si="11"/>
        <v>112.81438370825235</v>
      </c>
      <c r="G77" s="1206">
        <f t="shared" si="11"/>
        <v>462.00071143682993</v>
      </c>
      <c r="H77" s="1206"/>
      <c r="I77" s="841"/>
      <c r="J77" s="136"/>
      <c r="K77" s="301"/>
    </row>
    <row r="78" spans="1:11" x14ac:dyDescent="0.25">
      <c r="A78" s="301"/>
      <c r="B78" s="136"/>
      <c r="C78" s="359" t="s">
        <v>390</v>
      </c>
      <c r="D78" s="347"/>
      <c r="E78" s="253">
        <f t="shared" ref="E78:G82" si="12">E$30*((E$71*(1-E$23)*E34))+(E$71*E$23*E39)</f>
        <v>405607.61241408542</v>
      </c>
      <c r="F78" s="791">
        <f t="shared" si="12"/>
        <v>356169.90052678069</v>
      </c>
      <c r="G78" s="1206">
        <f t="shared" si="12"/>
        <v>400663.84122535522</v>
      </c>
      <c r="H78" s="1206"/>
      <c r="I78" s="841"/>
      <c r="J78" s="136"/>
      <c r="K78" s="301"/>
    </row>
    <row r="79" spans="1:11" x14ac:dyDescent="0.25">
      <c r="A79" s="301"/>
      <c r="B79" s="136"/>
      <c r="C79" s="359" t="s">
        <v>635</v>
      </c>
      <c r="D79" s="347"/>
      <c r="E79" s="253">
        <f t="shared" si="12"/>
        <v>333.56945645563945</v>
      </c>
      <c r="F79" s="791">
        <f t="shared" si="12"/>
        <v>107.44603707636074</v>
      </c>
      <c r="G79" s="1206">
        <f t="shared" si="12"/>
        <v>310.95711451771672</v>
      </c>
      <c r="H79" s="1206"/>
      <c r="I79" s="841"/>
      <c r="J79" s="136"/>
      <c r="K79" s="301"/>
    </row>
    <row r="80" spans="1:11" x14ac:dyDescent="0.25">
      <c r="A80" s="301"/>
      <c r="B80" s="136"/>
      <c r="C80" s="359" t="s">
        <v>392</v>
      </c>
      <c r="D80" s="347"/>
      <c r="E80" s="253">
        <f t="shared" si="12"/>
        <v>22.244744242144037</v>
      </c>
      <c r="F80" s="791">
        <f t="shared" si="12"/>
        <v>9.6987344578775225</v>
      </c>
      <c r="G80" s="1206">
        <f t="shared" si="12"/>
        <v>20.990143263717052</v>
      </c>
      <c r="H80" s="1206"/>
      <c r="I80" s="841"/>
      <c r="J80" s="136"/>
      <c r="K80" s="301"/>
    </row>
    <row r="81" spans="1:27" x14ac:dyDescent="0.25">
      <c r="A81" s="301"/>
      <c r="B81" s="136"/>
      <c r="C81" s="359" t="s">
        <v>636</v>
      </c>
      <c r="D81" s="347"/>
      <c r="E81" s="253">
        <f t="shared" si="12"/>
        <v>633.48723519131067</v>
      </c>
      <c r="F81" s="791">
        <f t="shared" si="12"/>
        <v>284.24453786822539</v>
      </c>
      <c r="G81" s="1206">
        <f t="shared" si="12"/>
        <v>598.56296545899659</v>
      </c>
      <c r="H81" s="1206"/>
      <c r="I81" s="841"/>
      <c r="J81" s="136"/>
      <c r="K81" s="301"/>
    </row>
    <row r="82" spans="1:27" x14ac:dyDescent="0.25">
      <c r="A82" s="301"/>
      <c r="B82" s="136"/>
      <c r="C82" s="359" t="s">
        <v>391</v>
      </c>
      <c r="D82" s="347"/>
      <c r="E82" s="253">
        <f t="shared" si="12"/>
        <v>299.24831194629974</v>
      </c>
      <c r="F82" s="791">
        <f t="shared" si="12"/>
        <v>67.411278626887011</v>
      </c>
      <c r="G82" s="1206">
        <f t="shared" si="12"/>
        <v>276.06460861435335</v>
      </c>
      <c r="H82" s="1206"/>
      <c r="I82" s="841"/>
      <c r="J82" s="263"/>
      <c r="K82" s="301"/>
    </row>
    <row r="83" spans="1:27" x14ac:dyDescent="0.25">
      <c r="A83" s="301"/>
      <c r="B83" s="136"/>
      <c r="C83" s="29"/>
      <c r="D83" s="195"/>
      <c r="E83" s="812"/>
      <c r="F83" s="812"/>
      <c r="G83" s="813"/>
      <c r="H83" s="813"/>
      <c r="I83" s="136"/>
      <c r="J83" s="263"/>
      <c r="K83" s="301"/>
    </row>
    <row r="84" spans="1:27" s="861" customFormat="1" ht="15.75" x14ac:dyDescent="0.25">
      <c r="A84" s="301"/>
      <c r="B84" s="136"/>
      <c r="C84" s="1210" t="s">
        <v>701</v>
      </c>
      <c r="D84" s="1210"/>
      <c r="E84" s="1210"/>
      <c r="F84" s="1210"/>
      <c r="G84" s="1210"/>
      <c r="H84" s="1210"/>
      <c r="I84" s="1210"/>
      <c r="J84" s="256"/>
      <c r="K84" s="301"/>
      <c r="L84" s="858"/>
      <c r="M84" s="858"/>
      <c r="N84" s="858"/>
      <c r="O84" s="858"/>
      <c r="P84" s="858"/>
      <c r="Q84" s="858"/>
      <c r="R84" s="858"/>
      <c r="S84" s="858"/>
      <c r="T84" s="858"/>
      <c r="U84" s="858"/>
      <c r="V84" s="858"/>
      <c r="W84" s="858"/>
      <c r="X84" s="882"/>
      <c r="Y84" s="882"/>
      <c r="Z84" s="882"/>
      <c r="AA84" s="1154"/>
    </row>
    <row r="85" spans="1:27" ht="16.5" thickBot="1" x14ac:dyDescent="0.3">
      <c r="A85" s="301"/>
      <c r="B85" s="136"/>
      <c r="C85" s="298" t="s">
        <v>990</v>
      </c>
      <c r="D85" s="299"/>
      <c r="E85" s="619"/>
      <c r="F85" s="619"/>
      <c r="G85" s="302"/>
      <c r="H85" s="302"/>
      <c r="I85" s="302"/>
      <c r="J85" s="256"/>
      <c r="K85" s="301"/>
    </row>
    <row r="86" spans="1:27" ht="15.75" thickBot="1" x14ac:dyDescent="0.3">
      <c r="A86" s="301"/>
      <c r="B86" s="139"/>
      <c r="C86" s="802"/>
      <c r="D86" s="840"/>
      <c r="E86" s="152">
        <f>(E70*E30*E31)-(E71*E30*E31)</f>
        <v>18501.910552268961</v>
      </c>
      <c r="F86" s="790">
        <f>(F70*F30*F31)-(F71*F30*F31)</f>
        <v>18501.910552268961</v>
      </c>
      <c r="G86" s="329" t="s">
        <v>124</v>
      </c>
      <c r="H86" s="1044"/>
      <c r="I86" s="1060">
        <f>(G70*G30*G31)-(G71*G30*G31)</f>
        <v>18501.910552268961</v>
      </c>
      <c r="J86" s="838"/>
      <c r="K86" s="301"/>
    </row>
    <row r="87" spans="1:27" ht="15.75" thickBot="1" x14ac:dyDescent="0.3">
      <c r="A87" s="301"/>
      <c r="B87" s="139"/>
      <c r="C87" s="1053"/>
      <c r="D87" s="660"/>
      <c r="E87" s="1071" t="s">
        <v>52</v>
      </c>
      <c r="F87" s="1071" t="s">
        <v>52</v>
      </c>
      <c r="G87" s="1071" t="s">
        <v>52</v>
      </c>
      <c r="H87" s="1052"/>
      <c r="I87" s="1043" t="s">
        <v>360</v>
      </c>
      <c r="J87" s="1051"/>
      <c r="K87" s="301"/>
    </row>
    <row r="88" spans="1:27" x14ac:dyDescent="0.25">
      <c r="A88" s="301"/>
      <c r="B88" s="139"/>
      <c r="C88" s="139"/>
      <c r="D88" s="137"/>
      <c r="E88" s="800"/>
      <c r="F88" s="800"/>
      <c r="G88" s="801"/>
      <c r="H88" s="1058"/>
      <c r="I88" s="836"/>
      <c r="J88" s="265"/>
      <c r="K88" s="301"/>
    </row>
    <row r="89" spans="1:27" ht="15.75" thickBot="1" x14ac:dyDescent="0.3">
      <c r="A89" s="301"/>
      <c r="B89" s="136"/>
      <c r="C89" s="298" t="s">
        <v>724</v>
      </c>
      <c r="D89" s="150"/>
      <c r="E89" s="151"/>
      <c r="F89" s="151"/>
      <c r="G89" s="151"/>
      <c r="H89" s="242"/>
      <c r="I89" s="242"/>
      <c r="J89" s="265"/>
      <c r="K89" s="301"/>
    </row>
    <row r="90" spans="1:27" ht="15.75" thickBot="1" x14ac:dyDescent="0.3">
      <c r="A90" s="301"/>
      <c r="B90" s="799"/>
      <c r="C90" s="330"/>
      <c r="D90" s="840"/>
      <c r="E90" s="60">
        <f>(E73-E78)*E$31</f>
        <v>68296601.931287408</v>
      </c>
      <c r="F90" s="789">
        <f t="shared" ref="F90" si="13">(F73-F78)*F$31</f>
        <v>59972232.205913708</v>
      </c>
      <c r="G90" s="802" t="s">
        <v>817</v>
      </c>
      <c r="H90" s="827"/>
      <c r="I90" s="828">
        <f>(G73-G78)*G$31</f>
        <v>67464164.958750084</v>
      </c>
      <c r="J90" s="136"/>
      <c r="K90" s="301"/>
    </row>
    <row r="91" spans="1:27" ht="15.75" thickBot="1" x14ac:dyDescent="0.3">
      <c r="A91" s="301"/>
      <c r="B91" s="799"/>
      <c r="C91" s="330"/>
      <c r="D91" s="841"/>
      <c r="E91" s="259">
        <f t="shared" ref="E91:F91" si="14">(E74-E79)*E$31</f>
        <v>56166.74758246127</v>
      </c>
      <c r="F91" s="789">
        <f t="shared" si="14"/>
        <v>18091.867604809599</v>
      </c>
      <c r="G91" s="330" t="s">
        <v>818</v>
      </c>
      <c r="H91" s="829"/>
      <c r="I91" s="830">
        <f>(G74-G79)*G$31</f>
        <v>52359.259584696956</v>
      </c>
      <c r="J91" s="136"/>
      <c r="K91" s="301"/>
    </row>
    <row r="92" spans="1:27" ht="15.75" thickBot="1" x14ac:dyDescent="0.3">
      <c r="A92" s="301"/>
      <c r="B92" s="799"/>
      <c r="C92" s="330"/>
      <c r="D92" s="841"/>
      <c r="E92" s="259">
        <f t="shared" ref="E92:F92" si="15">(E75-E80)*E$31</f>
        <v>3745.5915423451529</v>
      </c>
      <c r="F92" s="789">
        <f t="shared" si="15"/>
        <v>1633.082285030406</v>
      </c>
      <c r="G92" s="803" t="s">
        <v>819</v>
      </c>
      <c r="H92" s="829"/>
      <c r="I92" s="830">
        <f>(G75-G80)*G$31</f>
        <v>3534.340616613621</v>
      </c>
      <c r="J92" s="136"/>
      <c r="K92" s="301"/>
    </row>
    <row r="93" spans="1:27" ht="15.75" thickBot="1" x14ac:dyDescent="0.3">
      <c r="A93" s="301"/>
      <c r="B93" s="799"/>
      <c r="C93" s="330"/>
      <c r="D93" s="841"/>
      <c r="E93" s="259">
        <f t="shared" ref="E93:F93" si="16">(E76-E81)*E$31</f>
        <v>106667.19313503285</v>
      </c>
      <c r="F93" s="789">
        <f t="shared" si="16"/>
        <v>47861.370101974942</v>
      </c>
      <c r="G93" s="803" t="s">
        <v>820</v>
      </c>
      <c r="H93" s="829"/>
      <c r="I93" s="830">
        <f>(G76-G81)*G$31</f>
        <v>100786.61083172611</v>
      </c>
      <c r="J93" s="136"/>
      <c r="K93" s="301"/>
    </row>
    <row r="94" spans="1:27" ht="15.75" thickBot="1" x14ac:dyDescent="0.3">
      <c r="A94" s="301"/>
      <c r="B94" s="799"/>
      <c r="C94" s="330"/>
      <c r="D94" s="842"/>
      <c r="E94" s="259">
        <f>(E77-E82)*E$31</f>
        <v>50387.720087317648</v>
      </c>
      <c r="F94" s="789">
        <f t="shared" ref="F94" si="17">(F77-F82)*F$31</f>
        <v>11350.776270341335</v>
      </c>
      <c r="G94" s="330" t="s">
        <v>821</v>
      </c>
      <c r="H94" s="831"/>
      <c r="I94" s="832">
        <f>(G77-G82)*G$31</f>
        <v>46484.025705619148</v>
      </c>
      <c r="J94" s="136"/>
      <c r="K94" s="301"/>
    </row>
    <row r="95" spans="1:27" x14ac:dyDescent="0.25">
      <c r="A95" s="301"/>
      <c r="B95" s="799"/>
      <c r="C95" s="833"/>
      <c r="D95" s="841"/>
      <c r="E95" s="302"/>
      <c r="F95" s="302"/>
      <c r="G95" s="329" t="s">
        <v>974</v>
      </c>
      <c r="H95" s="839"/>
      <c r="I95" s="809">
        <f>(I90*0.00000110231)/$G$31</f>
        <v>0.29746569470271927</v>
      </c>
      <c r="J95" s="136"/>
      <c r="K95" s="301"/>
    </row>
    <row r="96" spans="1:27" x14ac:dyDescent="0.25">
      <c r="A96" s="301"/>
      <c r="B96" s="799"/>
      <c r="C96" s="834"/>
      <c r="D96" s="841"/>
      <c r="E96" s="302"/>
      <c r="F96" s="302"/>
      <c r="G96" s="330" t="s">
        <v>975</v>
      </c>
      <c r="H96" s="839"/>
      <c r="I96" s="810">
        <f t="shared" ref="I96:I99" si="18">(I91*0.00000110231)/$G$31</f>
        <v>2.3086454173122922E-4</v>
      </c>
      <c r="J96" s="136"/>
      <c r="K96" s="301"/>
    </row>
    <row r="97" spans="1:11" x14ac:dyDescent="0.25">
      <c r="A97" s="301"/>
      <c r="B97" s="799"/>
      <c r="C97" s="834"/>
      <c r="D97" s="841"/>
      <c r="E97" s="302"/>
      <c r="F97" s="302"/>
      <c r="G97" s="330" t="s">
        <v>976</v>
      </c>
      <c r="H97" s="839"/>
      <c r="I97" s="810">
        <f t="shared" si="18"/>
        <v>1.5583756020397442E-5</v>
      </c>
      <c r="J97" s="136"/>
      <c r="K97" s="301"/>
    </row>
    <row r="98" spans="1:11" x14ac:dyDescent="0.25">
      <c r="A98" s="301"/>
      <c r="B98" s="799"/>
      <c r="C98" s="834"/>
      <c r="D98" s="841"/>
      <c r="E98" s="302"/>
      <c r="F98" s="302"/>
      <c r="G98" s="330" t="s">
        <v>977</v>
      </c>
      <c r="H98" s="839"/>
      <c r="I98" s="810">
        <f t="shared" si="18"/>
        <v>4.4439235594368002E-4</v>
      </c>
      <c r="J98" s="136"/>
      <c r="K98" s="301"/>
    </row>
    <row r="99" spans="1:11" ht="15.75" thickBot="1" x14ac:dyDescent="0.3">
      <c r="A99" s="301"/>
      <c r="B99" s="799"/>
      <c r="C99" s="835"/>
      <c r="D99" s="843"/>
      <c r="E99" s="302"/>
      <c r="F99" s="302"/>
      <c r="G99" s="331" t="s">
        <v>978</v>
      </c>
      <c r="H99" s="839"/>
      <c r="I99" s="837">
        <f t="shared" si="18"/>
        <v>2.0495922550224418E-4</v>
      </c>
      <c r="J99" s="136"/>
      <c r="K99" s="301"/>
    </row>
    <row r="100" spans="1:11" ht="13.5" customHeight="1" x14ac:dyDescent="0.25">
      <c r="A100" s="301"/>
      <c r="B100" s="136"/>
      <c r="C100" s="136"/>
      <c r="D100" s="136"/>
      <c r="E100" s="136"/>
      <c r="F100" s="139"/>
      <c r="G100" s="136"/>
      <c r="H100" s="811"/>
      <c r="I100" s="137"/>
      <c r="J100" s="136"/>
      <c r="K100" s="301"/>
    </row>
    <row r="101" spans="1:11" x14ac:dyDescent="0.25">
      <c r="A101" s="301"/>
      <c r="B101" s="301"/>
      <c r="C101" s="301"/>
      <c r="D101" s="301"/>
      <c r="E101" s="301"/>
      <c r="F101" s="301"/>
      <c r="G101" s="301"/>
      <c r="H101" s="301"/>
      <c r="I101" s="301"/>
      <c r="J101" s="301"/>
      <c r="K101" s="301"/>
    </row>
    <row r="110" spans="1:11" x14ac:dyDescent="0.25">
      <c r="C110" s="862"/>
      <c r="D110" s="862"/>
      <c r="E110" s="863"/>
    </row>
    <row r="111" spans="1:11" x14ac:dyDescent="0.25">
      <c r="H111" s="861"/>
      <c r="I111" s="861"/>
    </row>
  </sheetData>
  <mergeCells count="70">
    <mergeCell ref="C3:I3"/>
    <mergeCell ref="C55:D55"/>
    <mergeCell ref="C64:D64"/>
    <mergeCell ref="C5:F5"/>
    <mergeCell ref="C6:D6"/>
    <mergeCell ref="C28:F28"/>
    <mergeCell ref="C29:D29"/>
    <mergeCell ref="C33:D33"/>
    <mergeCell ref="G7:H7"/>
    <mergeCell ref="G9:H9"/>
    <mergeCell ref="G10:H10"/>
    <mergeCell ref="G11:H11"/>
    <mergeCell ref="G6:H6"/>
    <mergeCell ref="G12:H12"/>
    <mergeCell ref="G13:H13"/>
    <mergeCell ref="G14:H14"/>
    <mergeCell ref="G16:H16"/>
    <mergeCell ref="G17:H17"/>
    <mergeCell ref="G18:H18"/>
    <mergeCell ref="G19:H19"/>
    <mergeCell ref="G20:H20"/>
    <mergeCell ref="G21:H21"/>
    <mergeCell ref="G23:H23"/>
    <mergeCell ref="G24:H24"/>
    <mergeCell ref="G25:H25"/>
    <mergeCell ref="G26:H26"/>
    <mergeCell ref="C24:D24"/>
    <mergeCell ref="C26:D26"/>
    <mergeCell ref="G37:H37"/>
    <mergeCell ref="G38:H38"/>
    <mergeCell ref="G39:H39"/>
    <mergeCell ref="G28:H28"/>
    <mergeCell ref="G40:H40"/>
    <mergeCell ref="G30:H30"/>
    <mergeCell ref="G31:H31"/>
    <mergeCell ref="G32:H32"/>
    <mergeCell ref="G34:H34"/>
    <mergeCell ref="G35:H35"/>
    <mergeCell ref="G36:H36"/>
    <mergeCell ref="G79:H79"/>
    <mergeCell ref="G80:H80"/>
    <mergeCell ref="G81:H81"/>
    <mergeCell ref="G82:H82"/>
    <mergeCell ref="C84:I84"/>
    <mergeCell ref="G74:H74"/>
    <mergeCell ref="G75:H75"/>
    <mergeCell ref="G76:H76"/>
    <mergeCell ref="G77:H77"/>
    <mergeCell ref="G78:H78"/>
    <mergeCell ref="G69:H69"/>
    <mergeCell ref="G70:H70"/>
    <mergeCell ref="G71:H71"/>
    <mergeCell ref="G73:H73"/>
    <mergeCell ref="G41:H41"/>
    <mergeCell ref="G43:H43"/>
    <mergeCell ref="G42:H42"/>
    <mergeCell ref="G65:H65"/>
    <mergeCell ref="G66:H66"/>
    <mergeCell ref="G67:H67"/>
    <mergeCell ref="G68:H68"/>
    <mergeCell ref="C45:I45"/>
    <mergeCell ref="G46:H46"/>
    <mergeCell ref="G56:H56"/>
    <mergeCell ref="G57:H57"/>
    <mergeCell ref="G58:H58"/>
    <mergeCell ref="G59:H59"/>
    <mergeCell ref="G60:H60"/>
    <mergeCell ref="G61:H61"/>
    <mergeCell ref="G62:H62"/>
    <mergeCell ref="G63:H63"/>
  </mergeCells>
  <conditionalFormatting sqref="G60:H63">
    <cfRule type="cellIs" dxfId="0" priority="1" operator="greaterThanOrEqual">
      <formula>1</formula>
    </cfRule>
  </conditionalFormatting>
  <dataValidations count="3">
    <dataValidation type="list" allowBlank="1" showInputMessage="1" showErrorMessage="1" sqref="G25">
      <formula1>$AC$15:$AC$16</formula1>
    </dataValidation>
    <dataValidation type="list" allowBlank="1" showInputMessage="1" showErrorMessage="1" sqref="L17:M17 L9:M12 L7:M7">
      <formula1>$T$5:$T$17</formula1>
    </dataValidation>
    <dataValidation type="list" allowBlank="1" showInputMessage="1" showErrorMessage="1" sqref="G8">
      <formula1>$X$3:$X$11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OtherVariables!$I$121:$I$131</xm:f>
          </x14:formula1>
          <xm:sqref>G7:H7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K67"/>
  <sheetViews>
    <sheetView showGridLines="0" zoomScale="85" zoomScaleNormal="85" workbookViewId="0">
      <selection activeCell="F8" sqref="F8"/>
    </sheetView>
  </sheetViews>
  <sheetFormatPr defaultRowHeight="15" x14ac:dyDescent="0.25"/>
  <cols>
    <col min="1" max="1" width="2.140625" style="294" customWidth="1"/>
    <col min="2" max="2" width="1.7109375" style="294" customWidth="1"/>
    <col min="3" max="3" width="83.7109375" style="294" customWidth="1"/>
    <col min="4" max="5" width="12.28515625" style="294" hidden="1" customWidth="1"/>
    <col min="6" max="6" width="30.28515625" style="294" bestFit="1" customWidth="1"/>
    <col min="7" max="7" width="1.7109375" style="294" customWidth="1"/>
    <col min="8" max="8" width="2.28515625" style="294" customWidth="1"/>
    <col min="9" max="16384" width="9.140625" style="294"/>
  </cols>
  <sheetData>
    <row r="1" spans="1:8" ht="12" customHeight="1" x14ac:dyDescent="0.25">
      <c r="A1" s="301"/>
      <c r="B1" s="301"/>
      <c r="C1" s="301"/>
      <c r="D1" s="301"/>
      <c r="E1" s="301"/>
      <c r="F1" s="301"/>
      <c r="G1" s="301"/>
      <c r="H1" s="301"/>
    </row>
    <row r="2" spans="1:8" ht="8.25" customHeight="1" x14ac:dyDescent="0.25">
      <c r="A2" s="301"/>
      <c r="B2" s="303"/>
      <c r="C2" s="303"/>
      <c r="D2" s="303"/>
      <c r="E2" s="303"/>
      <c r="F2" s="303"/>
      <c r="G2" s="303"/>
      <c r="H2" s="301"/>
    </row>
    <row r="3" spans="1:8" ht="26.25" x14ac:dyDescent="0.25">
      <c r="A3" s="301"/>
      <c r="B3" s="302"/>
      <c r="C3" s="1203" t="s">
        <v>243</v>
      </c>
      <c r="D3" s="1203"/>
      <c r="E3" s="1203"/>
      <c r="F3" s="1203"/>
      <c r="G3" s="302"/>
      <c r="H3" s="301"/>
    </row>
    <row r="4" spans="1:8" x14ac:dyDescent="0.25">
      <c r="A4" s="301"/>
      <c r="B4" s="302"/>
      <c r="C4" s="302"/>
      <c r="D4" s="302"/>
      <c r="E4" s="302"/>
      <c r="F4" s="302"/>
      <c r="G4" s="302"/>
      <c r="H4" s="301"/>
    </row>
    <row r="5" spans="1:8" ht="15.75" x14ac:dyDescent="0.25">
      <c r="A5" s="301"/>
      <c r="B5" s="302"/>
      <c r="C5" s="1208" t="s">
        <v>703</v>
      </c>
      <c r="D5" s="1208"/>
      <c r="E5" s="1208"/>
      <c r="F5" s="1208"/>
      <c r="G5" s="302"/>
      <c r="H5" s="301"/>
    </row>
    <row r="6" spans="1:8" ht="15.75" x14ac:dyDescent="0.25">
      <c r="A6" s="301"/>
      <c r="B6" s="302"/>
      <c r="C6" s="305" t="s">
        <v>711</v>
      </c>
      <c r="D6" s="299"/>
      <c r="F6" s="305" t="s">
        <v>720</v>
      </c>
      <c r="G6" s="302"/>
      <c r="H6" s="301"/>
    </row>
    <row r="7" spans="1:8" ht="15" customHeight="1" x14ac:dyDescent="0.25">
      <c r="A7" s="301"/>
      <c r="B7" s="302"/>
      <c r="C7" s="316" t="s">
        <v>136</v>
      </c>
      <c r="E7" s="368"/>
      <c r="F7" s="374">
        <v>2010</v>
      </c>
      <c r="G7" s="302"/>
      <c r="H7" s="301"/>
    </row>
    <row r="8" spans="1:8" ht="15" customHeight="1" x14ac:dyDescent="0.25">
      <c r="A8" s="301"/>
      <c r="B8" s="302"/>
      <c r="C8" s="316" t="s">
        <v>49</v>
      </c>
      <c r="E8" s="369"/>
      <c r="F8" s="375" t="s">
        <v>227</v>
      </c>
      <c r="G8" s="302"/>
      <c r="H8" s="301"/>
    </row>
    <row r="9" spans="1:8" ht="15" customHeight="1" x14ac:dyDescent="0.25">
      <c r="A9" s="301"/>
      <c r="B9" s="302"/>
      <c r="C9" s="316" t="s">
        <v>27</v>
      </c>
      <c r="E9" s="369"/>
      <c r="F9" s="375" t="s">
        <v>235</v>
      </c>
      <c r="G9" s="302"/>
      <c r="H9" s="301"/>
    </row>
    <row r="10" spans="1:8" ht="15" customHeight="1" x14ac:dyDescent="0.25">
      <c r="A10" s="301"/>
      <c r="B10" s="302"/>
      <c r="C10" s="316" t="s">
        <v>891</v>
      </c>
      <c r="E10" s="368"/>
      <c r="F10" s="374">
        <v>8</v>
      </c>
      <c r="G10" s="302"/>
      <c r="H10" s="301"/>
    </row>
    <row r="11" spans="1:8" ht="15" customHeight="1" x14ac:dyDescent="0.25">
      <c r="A11" s="301"/>
      <c r="B11" s="302"/>
      <c r="C11" s="316" t="s">
        <v>892</v>
      </c>
      <c r="E11" s="370"/>
      <c r="F11" s="376">
        <v>8000</v>
      </c>
      <c r="G11" s="302"/>
      <c r="H11" s="301"/>
    </row>
    <row r="12" spans="1:8" ht="15" customHeight="1" x14ac:dyDescent="0.25">
      <c r="A12" s="301"/>
      <c r="B12" s="302"/>
      <c r="C12" s="316" t="s">
        <v>893</v>
      </c>
      <c r="E12" s="368"/>
      <c r="F12" s="374">
        <v>20</v>
      </c>
      <c r="G12" s="302"/>
      <c r="H12" s="301"/>
    </row>
    <row r="13" spans="1:8" ht="15" customHeight="1" x14ac:dyDescent="0.25">
      <c r="A13" s="301"/>
      <c r="B13" s="302"/>
      <c r="C13" s="316" t="s">
        <v>247</v>
      </c>
      <c r="E13" s="368"/>
      <c r="F13" s="374">
        <v>30</v>
      </c>
      <c r="G13" s="302"/>
      <c r="H13" s="301"/>
    </row>
    <row r="14" spans="1:8" ht="15" customHeight="1" x14ac:dyDescent="0.25">
      <c r="A14" s="301"/>
      <c r="B14" s="302"/>
      <c r="C14" s="316" t="s">
        <v>248</v>
      </c>
      <c r="E14" s="368"/>
      <c r="F14" s="374">
        <v>40</v>
      </c>
      <c r="G14" s="302"/>
      <c r="H14" s="301"/>
    </row>
    <row r="15" spans="1:8" ht="15" customHeight="1" x14ac:dyDescent="0.25">
      <c r="A15" s="301"/>
      <c r="B15" s="302"/>
      <c r="C15" s="316" t="s">
        <v>246</v>
      </c>
      <c r="E15" s="371"/>
      <c r="F15" s="377">
        <v>0.1</v>
      </c>
      <c r="G15" s="302"/>
      <c r="H15" s="301"/>
    </row>
    <row r="16" spans="1:8" ht="15" customHeight="1" x14ac:dyDescent="0.25">
      <c r="A16" s="301"/>
      <c r="B16" s="302"/>
      <c r="C16" s="316" t="s">
        <v>321</v>
      </c>
      <c r="E16" s="371"/>
      <c r="F16" s="377">
        <v>0.05</v>
      </c>
      <c r="G16" s="302"/>
      <c r="H16" s="301"/>
    </row>
    <row r="17" spans="1:8" x14ac:dyDescent="0.25">
      <c r="A17" s="301"/>
      <c r="B17" s="302"/>
      <c r="C17" s="304"/>
      <c r="D17" s="302"/>
      <c r="E17" s="302"/>
      <c r="F17" s="302"/>
      <c r="G17" s="302"/>
      <c r="H17" s="301"/>
    </row>
    <row r="18" spans="1:8" ht="15.75" x14ac:dyDescent="0.25">
      <c r="A18" s="301"/>
      <c r="B18" s="302"/>
      <c r="C18" s="1208" t="s">
        <v>702</v>
      </c>
      <c r="D18" s="1208"/>
      <c r="E18" s="1208"/>
      <c r="F18" s="1208"/>
      <c r="G18" s="302"/>
      <c r="H18" s="301"/>
    </row>
    <row r="19" spans="1:8" x14ac:dyDescent="0.25">
      <c r="A19" s="301"/>
      <c r="B19" s="302"/>
      <c r="C19" s="300" t="s">
        <v>719</v>
      </c>
      <c r="D19" s="314">
        <v>2010</v>
      </c>
      <c r="E19" s="314">
        <v>2020</v>
      </c>
      <c r="F19" s="315">
        <f>F7</f>
        <v>2010</v>
      </c>
      <c r="G19" s="302"/>
      <c r="H19" s="301"/>
    </row>
    <row r="20" spans="1:8" x14ac:dyDescent="0.25">
      <c r="A20" s="301"/>
      <c r="B20" s="302"/>
      <c r="C20" s="317" t="s">
        <v>413</v>
      </c>
      <c r="D20" s="319">
        <f>'2010ER'!AB4</f>
        <v>3750.9003016633078</v>
      </c>
      <c r="E20" s="319">
        <f>'2020ER'!AB4</f>
        <v>3291.8135998721814</v>
      </c>
      <c r="F20" s="998">
        <f>TREND(D20:E20,$D$19:$E$19,$F$7)</f>
        <v>3750.9003016633214</v>
      </c>
      <c r="G20" s="302"/>
      <c r="H20" s="301"/>
    </row>
    <row r="21" spans="1:8" x14ac:dyDescent="0.25">
      <c r="A21" s="301"/>
      <c r="B21" s="302"/>
      <c r="C21" s="317" t="s">
        <v>417</v>
      </c>
      <c r="D21" s="320">
        <f>'2010ER'!AB5</f>
        <v>2.9522376685274958</v>
      </c>
      <c r="E21" s="320">
        <f>'2020ER'!AB5</f>
        <v>0.93910805035104805</v>
      </c>
      <c r="F21" s="998">
        <f t="shared" ref="F21:F29" si="0">TREND(D21:E21,$D$19:$E$19,$F$7)</f>
        <v>2.9522376685275162</v>
      </c>
      <c r="G21" s="302"/>
      <c r="H21" s="301"/>
    </row>
    <row r="22" spans="1:8" x14ac:dyDescent="0.25">
      <c r="A22" s="301"/>
      <c r="B22" s="302"/>
      <c r="C22" s="317" t="s">
        <v>416</v>
      </c>
      <c r="D22" s="320">
        <f>'2010ER'!AB6</f>
        <v>0.19839204428158921</v>
      </c>
      <c r="E22" s="320">
        <f>'2020ER'!AB6</f>
        <v>8.6560978266842434E-2</v>
      </c>
      <c r="F22" s="998">
        <f t="shared" si="0"/>
        <v>0.19839204428158652</v>
      </c>
      <c r="G22" s="302"/>
      <c r="H22" s="301"/>
    </row>
    <row r="23" spans="1:8" x14ac:dyDescent="0.25">
      <c r="A23" s="301"/>
      <c r="B23" s="302"/>
      <c r="C23" s="317" t="s">
        <v>415</v>
      </c>
      <c r="D23" s="321">
        <f>'2010ER'!AB7</f>
        <v>5.755505625407392</v>
      </c>
      <c r="E23" s="321">
        <f>'2020ER'!AB7</f>
        <v>2.5860206751293329</v>
      </c>
      <c r="F23" s="998">
        <f t="shared" si="0"/>
        <v>5.7555056254074088</v>
      </c>
      <c r="G23" s="302"/>
      <c r="H23" s="301"/>
    </row>
    <row r="24" spans="1:8" x14ac:dyDescent="0.25">
      <c r="A24" s="301"/>
      <c r="B24" s="302"/>
      <c r="C24" s="317" t="s">
        <v>414</v>
      </c>
      <c r="D24" s="321">
        <f>'2010ER'!AB8</f>
        <v>2.7543105969503339</v>
      </c>
      <c r="E24" s="321">
        <f>'2020ER'!AB8</f>
        <v>0.61583922156998427</v>
      </c>
      <c r="F24" s="998">
        <f t="shared" si="0"/>
        <v>2.7543105969502903</v>
      </c>
      <c r="G24" s="302"/>
      <c r="H24" s="301"/>
    </row>
    <row r="25" spans="1:8" x14ac:dyDescent="0.25">
      <c r="A25" s="301"/>
      <c r="B25" s="302"/>
      <c r="C25" s="317" t="s">
        <v>418</v>
      </c>
      <c r="D25" s="322">
        <f>'2010ER'!AL4</f>
        <v>7722.351052989884</v>
      </c>
      <c r="E25" s="322">
        <f>'2020ER'!AL4</f>
        <v>7715.1016680449866</v>
      </c>
      <c r="F25" s="998">
        <f t="shared" si="0"/>
        <v>7722.351052989884</v>
      </c>
      <c r="G25" s="302"/>
      <c r="H25" s="301"/>
    </row>
    <row r="26" spans="1:8" x14ac:dyDescent="0.25">
      <c r="A26" s="301"/>
      <c r="B26" s="302"/>
      <c r="C26" s="317" t="s">
        <v>422</v>
      </c>
      <c r="D26" s="321">
        <f>'2010ER'!AL5</f>
        <v>71.266992895654184</v>
      </c>
      <c r="E26" s="321">
        <f>'2020ER'!AL5</f>
        <v>28.755957883996196</v>
      </c>
      <c r="F26" s="998">
        <f t="shared" si="0"/>
        <v>71.266992895654766</v>
      </c>
      <c r="G26" s="302"/>
      <c r="H26" s="301"/>
    </row>
    <row r="27" spans="1:8" x14ac:dyDescent="0.25">
      <c r="A27" s="301"/>
      <c r="B27" s="302"/>
      <c r="C27" s="317" t="s">
        <v>421</v>
      </c>
      <c r="D27" s="321">
        <f>'2010ER'!AL6</f>
        <v>4.0096486656834633</v>
      </c>
      <c r="E27" s="321">
        <f>'2020ER'!AL6</f>
        <v>1.7179219731119526</v>
      </c>
      <c r="F27" s="998">
        <f t="shared" si="0"/>
        <v>4.0096486656834713</v>
      </c>
      <c r="G27" s="302"/>
      <c r="H27" s="301"/>
    </row>
    <row r="28" spans="1:8" x14ac:dyDescent="0.25">
      <c r="A28" s="301"/>
      <c r="B28" s="302"/>
      <c r="C28" s="317" t="s">
        <v>420</v>
      </c>
      <c r="D28" s="320">
        <f>'2010ER'!AL7</f>
        <v>62.401660342818353</v>
      </c>
      <c r="E28" s="320">
        <f>'2020ER'!AL7</f>
        <v>26.2668373090216</v>
      </c>
      <c r="F28" s="998">
        <f t="shared" si="0"/>
        <v>62.401660342818104</v>
      </c>
      <c r="G28" s="302"/>
      <c r="H28" s="301"/>
    </row>
    <row r="29" spans="1:8" x14ac:dyDescent="0.25">
      <c r="A29" s="301"/>
      <c r="B29" s="302"/>
      <c r="C29" s="317" t="s">
        <v>419</v>
      </c>
      <c r="D29" s="320">
        <f>'2010ER'!AL8</f>
        <v>12.077454219452086</v>
      </c>
      <c r="E29" s="320">
        <f>'2020ER'!AL8</f>
        <v>4.984839851937636</v>
      </c>
      <c r="F29" s="998">
        <f t="shared" si="0"/>
        <v>12.077454219452193</v>
      </c>
      <c r="G29" s="302"/>
      <c r="H29" s="301"/>
    </row>
    <row r="30" spans="1:8" x14ac:dyDescent="0.25">
      <c r="A30" s="301"/>
      <c r="B30" s="302"/>
      <c r="C30" s="317" t="s">
        <v>254</v>
      </c>
      <c r="D30" s="323">
        <v>30</v>
      </c>
      <c r="E30" s="323">
        <v>30</v>
      </c>
      <c r="F30" s="323">
        <v>30</v>
      </c>
      <c r="G30" s="302"/>
      <c r="H30" s="301"/>
    </row>
    <row r="31" spans="1:8" x14ac:dyDescent="0.25">
      <c r="A31" s="301"/>
      <c r="B31" s="302"/>
      <c r="C31" s="317" t="s">
        <v>257</v>
      </c>
      <c r="D31" s="319">
        <v>5280</v>
      </c>
      <c r="E31" s="319">
        <v>5280</v>
      </c>
      <c r="F31" s="319">
        <v>5280</v>
      </c>
      <c r="G31" s="302"/>
      <c r="H31" s="301"/>
    </row>
    <row r="32" spans="1:8" x14ac:dyDescent="0.25">
      <c r="A32" s="301"/>
      <c r="B32" s="302"/>
      <c r="C32" s="317" t="s">
        <v>258</v>
      </c>
      <c r="D32" s="319">
        <v>60</v>
      </c>
      <c r="E32" s="319">
        <v>60</v>
      </c>
      <c r="F32" s="319">
        <v>60</v>
      </c>
      <c r="G32" s="302"/>
      <c r="H32" s="301"/>
    </row>
    <row r="33" spans="1:11" x14ac:dyDescent="0.25">
      <c r="A33" s="301"/>
      <c r="B33" s="1001"/>
      <c r="C33" s="379" t="s">
        <v>71</v>
      </c>
      <c r="D33" s="20">
        <v>250</v>
      </c>
      <c r="E33" s="20">
        <v>250</v>
      </c>
      <c r="F33" s="938">
        <v>250</v>
      </c>
      <c r="G33" s="1001"/>
      <c r="H33" s="301"/>
    </row>
    <row r="34" spans="1:11" x14ac:dyDescent="0.25">
      <c r="A34" s="301"/>
      <c r="B34" s="302"/>
      <c r="C34" s="302"/>
      <c r="D34" s="302"/>
      <c r="E34" s="302"/>
      <c r="F34" s="302"/>
      <c r="G34" s="302"/>
      <c r="H34" s="301"/>
    </row>
    <row r="35" spans="1:11" ht="15.75" x14ac:dyDescent="0.25">
      <c r="A35" s="301"/>
      <c r="B35" s="302"/>
      <c r="C35" s="1208" t="s">
        <v>700</v>
      </c>
      <c r="D35" s="1208"/>
      <c r="E35" s="1208"/>
      <c r="F35" s="1208"/>
      <c r="G35" s="302"/>
      <c r="H35" s="301"/>
    </row>
    <row r="36" spans="1:11" ht="15.75" x14ac:dyDescent="0.25">
      <c r="A36" s="301"/>
      <c r="B36" s="302"/>
      <c r="C36" s="300" t="s">
        <v>711</v>
      </c>
      <c r="D36" s="299"/>
      <c r="F36" s="300" t="s">
        <v>710</v>
      </c>
      <c r="G36" s="302"/>
      <c r="H36" s="301"/>
    </row>
    <row r="37" spans="1:11" x14ac:dyDescent="0.25">
      <c r="A37" s="301"/>
      <c r="B37" s="302"/>
      <c r="C37" s="316" t="s">
        <v>244</v>
      </c>
      <c r="E37" s="372"/>
      <c r="F37" s="966">
        <f>INDEX(Capacity,MATCH(F8,INDEX(Capacity,,1),0),MATCH(F9,INDEX(Capacity,1,),0))</f>
        <v>900</v>
      </c>
      <c r="G37" s="302"/>
      <c r="H37" s="301"/>
    </row>
    <row r="38" spans="1:11" x14ac:dyDescent="0.25">
      <c r="A38" s="301"/>
      <c r="B38" s="302"/>
      <c r="C38" s="316" t="s">
        <v>712</v>
      </c>
      <c r="E38" s="372"/>
      <c r="F38" s="966">
        <f>INDEX(Speed,MATCH(F8,INDEX(Speed,,1),0),MATCH(F9,INDEX(Speed,1,),0))</f>
        <v>24</v>
      </c>
      <c r="G38" s="302"/>
      <c r="H38" s="301"/>
    </row>
    <row r="39" spans="1:11" s="313" customFormat="1" x14ac:dyDescent="0.25">
      <c r="A39" s="301"/>
      <c r="B39" s="302"/>
      <c r="C39" s="316" t="s">
        <v>252</v>
      </c>
      <c r="D39" s="294"/>
      <c r="E39" s="372"/>
      <c r="F39" s="966">
        <f>VLOOKUP(F10,OtherVariables!$E$123:$F$129,2,FALSE)</f>
        <v>3</v>
      </c>
      <c r="G39" s="302"/>
      <c r="H39" s="301"/>
    </row>
    <row r="40" spans="1:11" s="313" customFormat="1" x14ac:dyDescent="0.25">
      <c r="A40" s="312"/>
      <c r="B40" s="309"/>
      <c r="C40" s="318" t="s">
        <v>713</v>
      </c>
      <c r="E40" s="372"/>
      <c r="F40" s="966">
        <f>((F13/F32)^2*(F11-(F39*F37))*((F10*F37)-(F39*F37)))/(2*((F10*F37)-F11))</f>
        <v>-3726.5625</v>
      </c>
      <c r="G40" s="309"/>
      <c r="H40" s="312"/>
    </row>
    <row r="41" spans="1:11" s="313" customFormat="1" x14ac:dyDescent="0.25">
      <c r="A41" s="312"/>
      <c r="B41" s="309"/>
      <c r="C41" s="318" t="s">
        <v>714</v>
      </c>
      <c r="E41" s="372"/>
      <c r="F41" s="966">
        <f>((F14/F32)^2*(F11-(F39*F37))*((F10*F37)-(F39*F37)))/(2*((F10*F37)-F11))</f>
        <v>-6624.9999999999991</v>
      </c>
      <c r="G41" s="309"/>
      <c r="H41" s="312"/>
    </row>
    <row r="42" spans="1:11" s="313" customFormat="1" x14ac:dyDescent="0.25">
      <c r="A42" s="312"/>
      <c r="B42" s="309"/>
      <c r="C42" s="318" t="s">
        <v>715</v>
      </c>
      <c r="E42" s="373"/>
      <c r="F42" s="967">
        <f>((F13/F32)^2*(F11))*((F10*F37))/(2*((F10*F37)-F11))</f>
        <v>-9000</v>
      </c>
      <c r="G42" s="309"/>
      <c r="H42" s="312"/>
    </row>
    <row r="43" spans="1:11" x14ac:dyDescent="0.25">
      <c r="A43" s="312"/>
      <c r="B43" s="309"/>
      <c r="C43" s="318" t="s">
        <v>716</v>
      </c>
      <c r="D43" s="313"/>
      <c r="E43" s="372"/>
      <c r="F43" s="966">
        <f>((F14/F32)^2*(F11))*((F10*F37))/(2*((F10*F37)-F11))</f>
        <v>-15999.999999999998</v>
      </c>
      <c r="G43" s="309"/>
      <c r="H43" s="312"/>
    </row>
    <row r="44" spans="1:11" x14ac:dyDescent="0.25">
      <c r="A44" s="301"/>
      <c r="B44" s="302"/>
      <c r="C44" s="316" t="s">
        <v>253</v>
      </c>
      <c r="E44" s="372"/>
      <c r="F44" s="966">
        <f>F12*((F42*F15)+(F40*(1-F15)))</f>
        <v>-85078.125</v>
      </c>
      <c r="G44" s="302"/>
      <c r="H44" s="301"/>
      <c r="K44" s="328"/>
    </row>
    <row r="45" spans="1:11" x14ac:dyDescent="0.25">
      <c r="A45" s="301"/>
      <c r="B45" s="302"/>
      <c r="C45" s="316" t="s">
        <v>401</v>
      </c>
      <c r="E45" s="372"/>
      <c r="F45" s="966">
        <f>F12*((F43*F15)+(F41*(1-F16)))</f>
        <v>-157874.99999999997</v>
      </c>
      <c r="G45" s="302"/>
      <c r="H45" s="301"/>
    </row>
    <row r="46" spans="1:11" x14ac:dyDescent="0.25">
      <c r="A46" s="301"/>
      <c r="B46" s="302"/>
      <c r="C46" s="316" t="s">
        <v>717</v>
      </c>
      <c r="E46" s="372"/>
      <c r="F46" s="966">
        <f>(F11-(F39*F37))*((F14-F13)/F32)</f>
        <v>883.33333333333326</v>
      </c>
      <c r="G46" s="302"/>
      <c r="H46" s="301"/>
    </row>
    <row r="47" spans="1:11" x14ac:dyDescent="0.25">
      <c r="A47" s="301"/>
      <c r="B47" s="302"/>
      <c r="C47" s="316" t="s">
        <v>256</v>
      </c>
      <c r="E47" s="372"/>
      <c r="F47" s="966">
        <f>F46*F30/F31</f>
        <v>5.0189393939393936</v>
      </c>
      <c r="G47" s="302"/>
      <c r="H47" s="301"/>
    </row>
    <row r="48" spans="1:11" x14ac:dyDescent="0.25">
      <c r="A48" s="301"/>
      <c r="B48" s="302"/>
      <c r="C48" s="316" t="s">
        <v>718</v>
      </c>
      <c r="E48" s="372"/>
      <c r="F48" s="966">
        <f>F45-F44</f>
        <v>-72796.874999999971</v>
      </c>
      <c r="G48" s="302"/>
      <c r="H48" s="301"/>
    </row>
    <row r="49" spans="1:11" x14ac:dyDescent="0.25">
      <c r="A49" s="301"/>
      <c r="B49" s="302"/>
      <c r="C49" s="83"/>
      <c r="D49" s="297"/>
      <c r="E49" s="297"/>
      <c r="F49" s="297"/>
      <c r="G49" s="302"/>
      <c r="H49" s="301"/>
    </row>
    <row r="50" spans="1:11" ht="15.75" x14ac:dyDescent="0.25">
      <c r="A50" s="301"/>
      <c r="B50" s="302"/>
      <c r="C50" s="1210" t="s">
        <v>701</v>
      </c>
      <c r="D50" s="1210"/>
      <c r="E50" s="1210"/>
      <c r="F50" s="1210"/>
      <c r="G50" s="302"/>
      <c r="H50" s="301"/>
    </row>
    <row r="51" spans="1:11" ht="15.75" thickBot="1" x14ac:dyDescent="0.3">
      <c r="A51" s="301"/>
      <c r="B51" s="302"/>
      <c r="C51" s="298" t="s">
        <v>990</v>
      </c>
      <c r="D51" s="298"/>
      <c r="E51" s="298"/>
      <c r="F51" s="298"/>
      <c r="G51" s="302"/>
      <c r="H51" s="301"/>
    </row>
    <row r="52" spans="1:11" x14ac:dyDescent="0.25">
      <c r="A52" s="301"/>
      <c r="B52" s="332"/>
      <c r="C52" s="802" t="s">
        <v>124</v>
      </c>
      <c r="D52" s="1189"/>
      <c r="E52" s="1190"/>
      <c r="F52" s="1191">
        <f>F48</f>
        <v>-72796.874999999971</v>
      </c>
      <c r="G52" s="378"/>
      <c r="H52" s="301"/>
    </row>
    <row r="53" spans="1:11" ht="15.75" thickBot="1" x14ac:dyDescent="0.3">
      <c r="A53" s="301"/>
      <c r="B53" s="2"/>
      <c r="C53" s="508" t="s">
        <v>52</v>
      </c>
      <c r="D53" s="1073" t="s">
        <v>360</v>
      </c>
      <c r="E53" s="1073" t="s">
        <v>360</v>
      </c>
      <c r="F53" s="1073" t="s">
        <v>360</v>
      </c>
      <c r="G53" s="2"/>
      <c r="H53" s="301"/>
    </row>
    <row r="54" spans="1:11" x14ac:dyDescent="0.25">
      <c r="A54" s="301"/>
      <c r="B54" s="302"/>
      <c r="C54" s="306"/>
      <c r="D54" s="1"/>
      <c r="E54" s="310"/>
      <c r="F54" s="310"/>
      <c r="G54" s="302"/>
      <c r="H54" s="301"/>
      <c r="K54" s="364"/>
    </row>
    <row r="55" spans="1:11" ht="15.75" thickBot="1" x14ac:dyDescent="0.3">
      <c r="A55" s="301"/>
      <c r="B55" s="302"/>
      <c r="C55" s="298" t="s">
        <v>724</v>
      </c>
      <c r="D55" s="324"/>
      <c r="E55" s="311"/>
      <c r="F55" s="311"/>
      <c r="G55" s="302"/>
      <c r="H55" s="301"/>
    </row>
    <row r="56" spans="1:11" x14ac:dyDescent="0.25">
      <c r="A56" s="301"/>
      <c r="B56" s="332"/>
      <c r="C56" s="802" t="s">
        <v>817</v>
      </c>
      <c r="D56" s="325"/>
      <c r="F56" s="963">
        <f>F$48*(F20*(1-F$16)+(F$16*F25))</f>
        <v>-287509280.59329575</v>
      </c>
      <c r="G56" s="302"/>
      <c r="H56" s="301"/>
    </row>
    <row r="57" spans="1:11" ht="12" customHeight="1" x14ac:dyDescent="0.25">
      <c r="A57" s="301"/>
      <c r="B57" s="332"/>
      <c r="C57" s="330" t="s">
        <v>818</v>
      </c>
      <c r="D57" s="326"/>
      <c r="F57" s="964">
        <f>F$48*(F21*(1-F$16)+(F$16*F26))</f>
        <v>-463568.71137232782</v>
      </c>
      <c r="G57" s="302"/>
      <c r="H57" s="301"/>
    </row>
    <row r="58" spans="1:11" x14ac:dyDescent="0.25">
      <c r="A58" s="301"/>
      <c r="B58" s="332"/>
      <c r="C58" s="803" t="s">
        <v>819</v>
      </c>
      <c r="D58" s="326"/>
      <c r="F58" s="964">
        <f>F$48*(F22*(1-F$16)+(F$16*F27))</f>
        <v>-28314.699441616875</v>
      </c>
      <c r="G58" s="302"/>
      <c r="H58" s="301"/>
    </row>
    <row r="59" spans="1:11" x14ac:dyDescent="0.25">
      <c r="A59" s="301"/>
      <c r="B59" s="333"/>
      <c r="C59" s="803" t="s">
        <v>820</v>
      </c>
      <c r="D59" s="326"/>
      <c r="F59" s="964">
        <f>F$48*(F23*(1-F$16)+(F$16*F28))</f>
        <v>-625165.97578427999</v>
      </c>
      <c r="G59" s="302"/>
      <c r="H59" s="301"/>
    </row>
    <row r="60" spans="1:11" ht="15.75" thickBot="1" x14ac:dyDescent="0.3">
      <c r="A60" s="301"/>
      <c r="B60" s="332"/>
      <c r="C60" s="330" t="s">
        <v>821</v>
      </c>
      <c r="D60" s="327"/>
      <c r="F60" s="965">
        <f>F$48*(F24*(1-F$16)+(F$16*F29))</f>
        <v>-234439.99028208148</v>
      </c>
      <c r="G60" s="302"/>
      <c r="H60" s="301"/>
    </row>
    <row r="61" spans="1:11" x14ac:dyDescent="0.25">
      <c r="A61" s="301"/>
      <c r="B61" s="332"/>
      <c r="C61" s="329" t="s">
        <v>974</v>
      </c>
      <c r="D61" s="325"/>
      <c r="F61" s="915">
        <f>(F56*0.00000110231)/$F$33</f>
        <v>-1.2676974203631834</v>
      </c>
      <c r="G61" s="302"/>
      <c r="H61" s="301"/>
    </row>
    <row r="62" spans="1:11" x14ac:dyDescent="0.25">
      <c r="A62" s="301"/>
      <c r="B62" s="332"/>
      <c r="C62" s="330" t="s">
        <v>975</v>
      </c>
      <c r="D62" s="326"/>
      <c r="F62" s="805">
        <f t="shared" ref="F62:F65" si="1">(F57*0.00000110231)/$F$33</f>
        <v>-2.0439857049313228E-3</v>
      </c>
      <c r="G62" s="302"/>
      <c r="H62" s="301"/>
    </row>
    <row r="63" spans="1:11" x14ac:dyDescent="0.25">
      <c r="A63" s="301"/>
      <c r="B63" s="332"/>
      <c r="C63" s="330" t="s">
        <v>976</v>
      </c>
      <c r="D63" s="326"/>
      <c r="F63" s="805">
        <f t="shared" si="1"/>
        <v>-1.2484630536595479E-4</v>
      </c>
      <c r="G63" s="302"/>
      <c r="H63" s="301"/>
    </row>
    <row r="64" spans="1:11" x14ac:dyDescent="0.25">
      <c r="A64" s="301"/>
      <c r="B64" s="332"/>
      <c r="C64" s="330" t="s">
        <v>977</v>
      </c>
      <c r="D64" s="326"/>
      <c r="F64" s="805">
        <f t="shared" si="1"/>
        <v>-2.7565068270670786E-3</v>
      </c>
      <c r="G64" s="302"/>
      <c r="H64" s="301"/>
    </row>
    <row r="65" spans="1:8" ht="15.75" thickBot="1" x14ac:dyDescent="0.3">
      <c r="A65" s="301"/>
      <c r="B65" s="332"/>
      <c r="C65" s="331" t="s">
        <v>978</v>
      </c>
      <c r="D65" s="327"/>
      <c r="F65" s="807">
        <f t="shared" si="1"/>
        <v>-1.0337021827513651E-3</v>
      </c>
      <c r="G65" s="302"/>
      <c r="H65" s="301"/>
    </row>
    <row r="66" spans="1:8" x14ac:dyDescent="0.25">
      <c r="A66" s="301"/>
      <c r="B66" s="302"/>
      <c r="C66" s="302"/>
      <c r="D66" s="302"/>
      <c r="E66" s="302"/>
      <c r="F66" s="367"/>
      <c r="G66" s="302"/>
      <c r="H66" s="301"/>
    </row>
    <row r="67" spans="1:8" x14ac:dyDescent="0.25">
      <c r="A67" s="301"/>
      <c r="B67" s="301"/>
      <c r="C67" s="301"/>
      <c r="D67" s="301"/>
      <c r="E67" s="301"/>
      <c r="F67" s="301"/>
      <c r="G67" s="301"/>
      <c r="H67" s="301"/>
    </row>
  </sheetData>
  <mergeCells count="5">
    <mergeCell ref="C3:F3"/>
    <mergeCell ref="C5:F5"/>
    <mergeCell ref="C18:F18"/>
    <mergeCell ref="C35:F35"/>
    <mergeCell ref="C50:F50"/>
  </mergeCell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OtherVariables!$I$121:$I$131</xm:f>
          </x14:formula1>
          <xm:sqref>F7</xm:sqref>
        </x14:dataValidation>
        <x14:dataValidation type="list" allowBlank="1" showInputMessage="1" showErrorMessage="1">
          <x14:formula1>
            <xm:f>OtherVariables!$A$122:$A$127</xm:f>
          </x14:formula1>
          <xm:sqref>F8</xm:sqref>
        </x14:dataValidation>
        <x14:dataValidation type="list" allowBlank="1" showInputMessage="1" showErrorMessage="1">
          <x14:formula1>
            <xm:f>OtherVariables!$B$122:$B$129</xm:f>
          </x14:formula1>
          <xm:sqref>F9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4"/>
  <sheetViews>
    <sheetView showGridLines="0" topLeftCell="A58" zoomScale="85" zoomScaleNormal="85" workbookViewId="0">
      <selection activeCell="H79" sqref="H79:I79"/>
    </sheetView>
  </sheetViews>
  <sheetFormatPr defaultRowHeight="15" x14ac:dyDescent="0.25"/>
  <cols>
    <col min="1" max="1" width="2.28515625" style="294" customWidth="1"/>
    <col min="2" max="2" width="1.85546875" style="294" customWidth="1"/>
    <col min="3" max="3" width="75.42578125" style="294" customWidth="1"/>
    <col min="4" max="4" width="19.28515625" style="294" hidden="1" customWidth="1"/>
    <col min="5" max="5" width="11.5703125" style="294" hidden="1" customWidth="1"/>
    <col min="6" max="6" width="19.42578125" style="294" hidden="1" customWidth="1"/>
    <col min="7" max="7" width="14.140625" style="294" hidden="1" customWidth="1"/>
    <col min="8" max="8" width="19.42578125" style="294" bestFit="1" customWidth="1"/>
    <col min="9" max="9" width="14.140625" style="294" customWidth="1"/>
    <col min="10" max="10" width="1.85546875" style="294" customWidth="1"/>
    <col min="11" max="11" width="2.28515625" style="294" customWidth="1"/>
    <col min="12" max="12" width="8" style="294" customWidth="1"/>
    <col min="13" max="13" width="18" style="294" customWidth="1"/>
    <col min="14" max="16384" width="9.140625" style="294"/>
  </cols>
  <sheetData>
    <row r="1" spans="1:25" ht="11.25" customHeight="1" x14ac:dyDescent="0.25">
      <c r="A1" s="301"/>
      <c r="B1" s="301"/>
      <c r="C1" s="301"/>
      <c r="D1" s="301"/>
      <c r="E1" s="301"/>
      <c r="F1" s="301"/>
      <c r="G1" s="301"/>
      <c r="H1" s="301"/>
      <c r="I1" s="301"/>
      <c r="J1" s="301"/>
      <c r="K1" s="301"/>
    </row>
    <row r="2" spans="1:25" ht="8.25" customHeight="1" x14ac:dyDescent="0.25">
      <c r="A2" s="301"/>
      <c r="B2" s="302"/>
      <c r="C2" s="302"/>
      <c r="D2" s="302"/>
      <c r="E2" s="302"/>
      <c r="F2" s="302"/>
      <c r="G2" s="302"/>
      <c r="H2" s="302"/>
      <c r="I2" s="302"/>
      <c r="J2" s="303"/>
      <c r="K2" s="301"/>
    </row>
    <row r="3" spans="1:25" ht="26.25" x14ac:dyDescent="0.25">
      <c r="A3" s="301"/>
      <c r="B3" s="302"/>
      <c r="C3" s="1203" t="s">
        <v>197</v>
      </c>
      <c r="D3" s="1203"/>
      <c r="E3" s="1203"/>
      <c r="F3" s="1203"/>
      <c r="G3" s="1203"/>
      <c r="H3" s="1203"/>
      <c r="I3" s="1203"/>
      <c r="J3" s="382"/>
      <c r="K3" s="393"/>
      <c r="L3" s="422"/>
      <c r="M3" s="423"/>
      <c r="Y3" s="424"/>
    </row>
    <row r="4" spans="1:25" x14ac:dyDescent="0.25">
      <c r="A4" s="301"/>
      <c r="B4" s="302"/>
      <c r="C4"/>
      <c r="D4"/>
      <c r="E4"/>
      <c r="F4"/>
      <c r="G4"/>
      <c r="H4"/>
      <c r="I4"/>
      <c r="J4" s="303"/>
      <c r="K4" s="301"/>
      <c r="Y4" s="424"/>
    </row>
    <row r="5" spans="1:25" ht="15.75" x14ac:dyDescent="0.25">
      <c r="A5" s="301"/>
      <c r="B5" s="302"/>
      <c r="C5" s="1202" t="s">
        <v>703</v>
      </c>
      <c r="D5" s="1202"/>
      <c r="E5" s="1202"/>
      <c r="F5" s="1202"/>
      <c r="G5" s="80"/>
      <c r="H5" s="1202"/>
      <c r="I5" s="1202"/>
      <c r="J5" s="346"/>
      <c r="K5" s="365"/>
      <c r="L5" s="425"/>
      <c r="Y5" s="424"/>
    </row>
    <row r="6" spans="1:25" ht="16.5" thickBot="1" x14ac:dyDescent="0.3">
      <c r="A6" s="301"/>
      <c r="B6" s="302"/>
      <c r="C6" s="421" t="s">
        <v>711</v>
      </c>
      <c r="D6" s="410"/>
      <c r="E6" s="410"/>
      <c r="F6" s="410"/>
      <c r="G6" s="408"/>
      <c r="H6" s="1224" t="s">
        <v>720</v>
      </c>
      <c r="I6" s="1224"/>
      <c r="J6" s="164"/>
      <c r="K6" s="394"/>
      <c r="L6" s="426"/>
      <c r="Y6" s="424"/>
    </row>
    <row r="7" spans="1:25" ht="16.5" thickBot="1" x14ac:dyDescent="0.3">
      <c r="A7" s="301"/>
      <c r="B7" s="302"/>
      <c r="C7" s="338" t="s">
        <v>136</v>
      </c>
      <c r="D7" s="344"/>
      <c r="E7" s="344"/>
      <c r="F7" s="344"/>
      <c r="G7" s="336"/>
      <c r="H7" s="1226">
        <v>2011</v>
      </c>
      <c r="I7" s="1227"/>
      <c r="J7" s="383"/>
      <c r="K7" s="395"/>
      <c r="L7" s="427"/>
      <c r="Y7" s="424"/>
    </row>
    <row r="8" spans="1:25" ht="15.75" thickBot="1" x14ac:dyDescent="0.3">
      <c r="A8" s="301"/>
      <c r="B8" s="302"/>
      <c r="C8" s="338" t="s">
        <v>276</v>
      </c>
      <c r="D8" s="345">
        <v>2010</v>
      </c>
      <c r="E8" s="345"/>
      <c r="F8" s="345">
        <v>2020</v>
      </c>
      <c r="G8" s="345"/>
      <c r="H8" s="1230">
        <v>0.13</v>
      </c>
      <c r="I8" s="1231"/>
      <c r="J8" s="383"/>
      <c r="K8" s="395"/>
      <c r="L8" s="428"/>
      <c r="Y8" s="424"/>
    </row>
    <row r="9" spans="1:25" x14ac:dyDescent="0.25">
      <c r="A9" s="301"/>
      <c r="B9" s="302"/>
      <c r="C9" s="338"/>
      <c r="D9" s="408"/>
      <c r="E9" s="408"/>
      <c r="F9" s="408"/>
      <c r="G9" s="408"/>
      <c r="H9" s="409"/>
      <c r="I9" s="409"/>
      <c r="J9" s="384"/>
      <c r="K9" s="396"/>
      <c r="L9" s="429"/>
      <c r="Y9" s="424"/>
    </row>
    <row r="10" spans="1:25" ht="36.75" customHeight="1" thickBot="1" x14ac:dyDescent="0.3">
      <c r="A10" s="301"/>
      <c r="B10" s="302"/>
      <c r="C10" s="337" t="s">
        <v>264</v>
      </c>
      <c r="D10" s="342" t="s">
        <v>260</v>
      </c>
      <c r="E10" s="342" t="s">
        <v>261</v>
      </c>
      <c r="F10" s="342" t="s">
        <v>260</v>
      </c>
      <c r="G10" s="342" t="s">
        <v>261</v>
      </c>
      <c r="H10" s="1164" t="s">
        <v>889</v>
      </c>
      <c r="I10" s="411" t="s">
        <v>890</v>
      </c>
      <c r="J10" s="381"/>
      <c r="K10" s="397"/>
      <c r="L10" s="429"/>
      <c r="Y10" s="424"/>
    </row>
    <row r="11" spans="1:25" ht="15.75" customHeight="1" x14ac:dyDescent="0.25">
      <c r="A11" s="301"/>
      <c r="B11" s="302"/>
      <c r="C11" s="338">
        <v>1</v>
      </c>
      <c r="D11" s="270">
        <v>1695</v>
      </c>
      <c r="E11" s="284">
        <v>43.1</v>
      </c>
      <c r="F11" s="270">
        <v>1695</v>
      </c>
      <c r="G11" s="284">
        <v>43.1</v>
      </c>
      <c r="H11" s="412">
        <v>1695</v>
      </c>
      <c r="I11" s="413">
        <v>43.1</v>
      </c>
      <c r="J11" s="381"/>
      <c r="K11" s="397"/>
      <c r="L11" s="429"/>
      <c r="Y11" s="424"/>
    </row>
    <row r="12" spans="1:25" ht="15.75" customHeight="1" x14ac:dyDescent="0.25">
      <c r="A12" s="301"/>
      <c r="B12" s="302"/>
      <c r="C12" s="338">
        <v>2</v>
      </c>
      <c r="D12" s="271">
        <v>675</v>
      </c>
      <c r="E12" s="283">
        <v>0</v>
      </c>
      <c r="F12" s="271">
        <v>675</v>
      </c>
      <c r="G12" s="283">
        <v>0</v>
      </c>
      <c r="H12" s="414">
        <v>675</v>
      </c>
      <c r="I12" s="415">
        <v>0</v>
      </c>
      <c r="J12" s="381"/>
      <c r="K12" s="397"/>
      <c r="L12" s="429"/>
    </row>
    <row r="13" spans="1:25" ht="15.75" customHeight="1" x14ac:dyDescent="0.25">
      <c r="A13" s="301"/>
      <c r="B13" s="302"/>
      <c r="C13" s="338">
        <v>3</v>
      </c>
      <c r="D13" s="271">
        <v>525</v>
      </c>
      <c r="E13" s="283">
        <v>58.7</v>
      </c>
      <c r="F13" s="271">
        <v>525</v>
      </c>
      <c r="G13" s="283">
        <v>58.7</v>
      </c>
      <c r="H13" s="414">
        <v>525</v>
      </c>
      <c r="I13" s="415">
        <v>58.7</v>
      </c>
      <c r="J13" s="381"/>
      <c r="K13" s="397"/>
      <c r="L13" s="429"/>
    </row>
    <row r="14" spans="1:25" ht="15.75" customHeight="1" x14ac:dyDescent="0.25">
      <c r="A14" s="301"/>
      <c r="B14" s="302"/>
      <c r="C14" s="338">
        <v>4</v>
      </c>
      <c r="D14" s="271">
        <v>1170</v>
      </c>
      <c r="E14" s="283">
        <v>15.9</v>
      </c>
      <c r="F14" s="271">
        <v>1170</v>
      </c>
      <c r="G14" s="283">
        <v>15.9</v>
      </c>
      <c r="H14" s="414">
        <v>1170</v>
      </c>
      <c r="I14" s="415">
        <v>15.9</v>
      </c>
      <c r="J14" s="381"/>
      <c r="K14" s="397"/>
      <c r="L14" s="429"/>
    </row>
    <row r="15" spans="1:25" ht="15.75" customHeight="1" x14ac:dyDescent="0.25">
      <c r="A15" s="301"/>
      <c r="B15" s="302"/>
      <c r="C15" s="338">
        <v>5</v>
      </c>
      <c r="D15" s="271">
        <v>930</v>
      </c>
      <c r="E15" s="283">
        <v>49</v>
      </c>
      <c r="F15" s="271">
        <v>930</v>
      </c>
      <c r="G15" s="283">
        <v>49</v>
      </c>
      <c r="H15" s="414">
        <v>930</v>
      </c>
      <c r="I15" s="415">
        <v>49</v>
      </c>
      <c r="J15" s="381"/>
      <c r="K15" s="397"/>
      <c r="L15" s="429"/>
    </row>
    <row r="16" spans="1:25" ht="15.75" customHeight="1" x14ac:dyDescent="0.25">
      <c r="A16" s="301"/>
      <c r="B16" s="302"/>
      <c r="C16" s="338">
        <v>6</v>
      </c>
      <c r="D16" s="271">
        <v>440</v>
      </c>
      <c r="E16" s="283">
        <v>0</v>
      </c>
      <c r="F16" s="271">
        <v>440</v>
      </c>
      <c r="G16" s="283">
        <v>0</v>
      </c>
      <c r="H16" s="414">
        <v>440</v>
      </c>
      <c r="I16" s="415">
        <v>0</v>
      </c>
      <c r="J16" s="381"/>
      <c r="K16" s="397"/>
      <c r="L16" s="429"/>
    </row>
    <row r="17" spans="1:12" ht="15.75" customHeight="1" x14ac:dyDescent="0.25">
      <c r="A17" s="301"/>
      <c r="B17" s="302"/>
      <c r="C17" s="338">
        <v>7</v>
      </c>
      <c r="D17" s="271">
        <v>810</v>
      </c>
      <c r="E17" s="283">
        <v>0</v>
      </c>
      <c r="F17" s="271">
        <v>810</v>
      </c>
      <c r="G17" s="283">
        <v>0</v>
      </c>
      <c r="H17" s="414">
        <v>810</v>
      </c>
      <c r="I17" s="415">
        <v>0</v>
      </c>
      <c r="J17" s="381"/>
      <c r="K17" s="397"/>
      <c r="L17" s="429"/>
    </row>
    <row r="18" spans="1:12" ht="15.75" customHeight="1" x14ac:dyDescent="0.25">
      <c r="A18" s="301"/>
      <c r="B18" s="302"/>
      <c r="C18" s="338">
        <v>8</v>
      </c>
      <c r="D18" s="271">
        <v>1505</v>
      </c>
      <c r="E18" s="283">
        <v>37.5</v>
      </c>
      <c r="F18" s="271">
        <v>1505</v>
      </c>
      <c r="G18" s="283">
        <v>37.5</v>
      </c>
      <c r="H18" s="414">
        <v>1505</v>
      </c>
      <c r="I18" s="415">
        <v>37.5</v>
      </c>
      <c r="J18" s="381"/>
      <c r="K18" s="397"/>
      <c r="L18" s="429"/>
    </row>
    <row r="19" spans="1:12" ht="15.75" customHeight="1" x14ac:dyDescent="0.25">
      <c r="A19" s="301"/>
      <c r="B19" s="302"/>
      <c r="C19" s="338">
        <v>9</v>
      </c>
      <c r="D19" s="271">
        <v>1290</v>
      </c>
      <c r="E19" s="283">
        <v>32.700000000000003</v>
      </c>
      <c r="F19" s="271">
        <v>1290</v>
      </c>
      <c r="G19" s="283">
        <v>32.700000000000003</v>
      </c>
      <c r="H19" s="414">
        <v>1290</v>
      </c>
      <c r="I19" s="415">
        <v>32.700000000000003</v>
      </c>
      <c r="J19" s="381"/>
      <c r="K19" s="397"/>
      <c r="L19" s="429"/>
    </row>
    <row r="20" spans="1:12" ht="15.75" customHeight="1" x14ac:dyDescent="0.25">
      <c r="A20" s="301"/>
      <c r="B20" s="302"/>
      <c r="C20" s="338">
        <v>10</v>
      </c>
      <c r="D20" s="271">
        <v>1035</v>
      </c>
      <c r="E20" s="283">
        <v>0</v>
      </c>
      <c r="F20" s="271">
        <v>1035</v>
      </c>
      <c r="G20" s="283">
        <v>0</v>
      </c>
      <c r="H20" s="414">
        <v>1035</v>
      </c>
      <c r="I20" s="415">
        <v>0</v>
      </c>
      <c r="J20" s="381"/>
      <c r="K20" s="397"/>
      <c r="L20" s="429"/>
    </row>
    <row r="21" spans="1:12" ht="15.75" customHeight="1" x14ac:dyDescent="0.25">
      <c r="A21" s="301"/>
      <c r="B21" s="302"/>
      <c r="C21" s="338">
        <v>11</v>
      </c>
      <c r="D21" s="271">
        <v>365</v>
      </c>
      <c r="E21" s="283">
        <v>68.900000000000006</v>
      </c>
      <c r="F21" s="271">
        <v>365</v>
      </c>
      <c r="G21" s="283">
        <v>68.900000000000006</v>
      </c>
      <c r="H21" s="414">
        <v>365</v>
      </c>
      <c r="I21" s="415">
        <v>68.900000000000006</v>
      </c>
      <c r="J21" s="381"/>
      <c r="K21" s="397"/>
      <c r="L21" s="429"/>
    </row>
    <row r="22" spans="1:12" ht="15.75" customHeight="1" x14ac:dyDescent="0.25">
      <c r="A22" s="301"/>
      <c r="B22" s="302"/>
      <c r="C22" s="338">
        <v>12</v>
      </c>
      <c r="D22" s="271">
        <v>260</v>
      </c>
      <c r="E22" s="283">
        <v>41.8</v>
      </c>
      <c r="F22" s="271">
        <v>260</v>
      </c>
      <c r="G22" s="283">
        <v>41.8</v>
      </c>
      <c r="H22" s="414">
        <v>260</v>
      </c>
      <c r="I22" s="415">
        <v>41.8</v>
      </c>
      <c r="J22" s="381"/>
      <c r="K22" s="397"/>
      <c r="L22" s="429"/>
    </row>
    <row r="23" spans="1:12" ht="15.75" customHeight="1" x14ac:dyDescent="0.25">
      <c r="A23" s="301"/>
      <c r="B23" s="302"/>
      <c r="C23" s="338">
        <v>13</v>
      </c>
      <c r="D23" s="285">
        <v>140</v>
      </c>
      <c r="E23" s="286">
        <v>40.200000000000003</v>
      </c>
      <c r="F23" s="285">
        <v>140</v>
      </c>
      <c r="G23" s="286">
        <v>40.200000000000003</v>
      </c>
      <c r="H23" s="416">
        <v>140</v>
      </c>
      <c r="I23" s="417">
        <v>40.200000000000003</v>
      </c>
      <c r="J23" s="381"/>
      <c r="K23" s="397"/>
      <c r="L23" s="429"/>
    </row>
    <row r="24" spans="1:12" x14ac:dyDescent="0.25">
      <c r="A24" s="301"/>
      <c r="B24" s="302"/>
      <c r="C24" s="338">
        <v>14</v>
      </c>
      <c r="D24" s="271">
        <v>1450</v>
      </c>
      <c r="E24" s="283">
        <v>27.5</v>
      </c>
      <c r="F24" s="271">
        <v>1450</v>
      </c>
      <c r="G24" s="283">
        <v>27.5</v>
      </c>
      <c r="H24" s="414">
        <v>1450</v>
      </c>
      <c r="I24" s="415">
        <v>27.5</v>
      </c>
      <c r="J24" s="381"/>
      <c r="K24" s="397"/>
      <c r="L24" s="429"/>
    </row>
    <row r="25" spans="1:12" x14ac:dyDescent="0.25">
      <c r="A25" s="301"/>
      <c r="B25" s="302"/>
      <c r="C25" s="338">
        <v>15</v>
      </c>
      <c r="D25" s="271">
        <v>1485</v>
      </c>
      <c r="E25" s="283">
        <v>44</v>
      </c>
      <c r="F25" s="271">
        <v>1485</v>
      </c>
      <c r="G25" s="283">
        <v>44</v>
      </c>
      <c r="H25" s="414">
        <v>1485</v>
      </c>
      <c r="I25" s="415">
        <v>44</v>
      </c>
      <c r="J25" s="381"/>
      <c r="K25" s="397"/>
      <c r="L25" s="430"/>
    </row>
    <row r="26" spans="1:12" ht="15.75" thickBot="1" x14ac:dyDescent="0.3">
      <c r="A26" s="301"/>
      <c r="B26" s="302"/>
      <c r="C26" s="338">
        <v>16</v>
      </c>
      <c r="D26" s="272">
        <v>0</v>
      </c>
      <c r="E26" s="287">
        <v>0</v>
      </c>
      <c r="F26" s="272">
        <v>0</v>
      </c>
      <c r="G26" s="287">
        <v>0</v>
      </c>
      <c r="H26" s="418">
        <v>0</v>
      </c>
      <c r="I26" s="419">
        <v>0</v>
      </c>
      <c r="J26" s="66"/>
      <c r="K26" s="398"/>
      <c r="L26" s="431"/>
    </row>
    <row r="27" spans="1:12" x14ac:dyDescent="0.25">
      <c r="A27" s="301"/>
      <c r="B27" s="302"/>
      <c r="C27" s="337"/>
      <c r="D27" s="343"/>
      <c r="E27" s="343"/>
      <c r="F27" s="343"/>
      <c r="G27" s="343"/>
      <c r="H27" s="337"/>
      <c r="I27" s="337"/>
      <c r="J27" s="385"/>
      <c r="K27" s="399"/>
      <c r="L27" s="429"/>
    </row>
    <row r="28" spans="1:12" ht="39" thickBot="1" x14ac:dyDescent="0.3">
      <c r="A28" s="301"/>
      <c r="B28" s="302"/>
      <c r="C28" s="337" t="s">
        <v>263</v>
      </c>
      <c r="D28" s="342" t="s">
        <v>260</v>
      </c>
      <c r="E28" s="342" t="s">
        <v>261</v>
      </c>
      <c r="F28" s="342" t="s">
        <v>260</v>
      </c>
      <c r="G28" s="342" t="s">
        <v>261</v>
      </c>
      <c r="H28" s="1164" t="s">
        <v>889</v>
      </c>
      <c r="I28" s="411" t="s">
        <v>890</v>
      </c>
      <c r="J28" s="381"/>
      <c r="K28" s="397"/>
      <c r="L28" s="429"/>
    </row>
    <row r="29" spans="1:12" x14ac:dyDescent="0.25">
      <c r="A29" s="301"/>
      <c r="B29" s="302"/>
      <c r="C29" s="338">
        <v>1</v>
      </c>
      <c r="D29" s="270">
        <v>1695</v>
      </c>
      <c r="E29" s="284">
        <v>1.8</v>
      </c>
      <c r="F29" s="270">
        <v>1695</v>
      </c>
      <c r="G29" s="284">
        <v>1.8</v>
      </c>
      <c r="H29" s="412">
        <v>1695</v>
      </c>
      <c r="I29" s="413">
        <v>1.8</v>
      </c>
      <c r="J29" s="381"/>
      <c r="K29" s="397"/>
      <c r="L29" s="429"/>
    </row>
    <row r="30" spans="1:12" x14ac:dyDescent="0.25">
      <c r="A30" s="301"/>
      <c r="B30" s="302"/>
      <c r="C30" s="338">
        <v>2</v>
      </c>
      <c r="D30" s="271">
        <v>675</v>
      </c>
      <c r="E30" s="283">
        <v>0</v>
      </c>
      <c r="F30" s="271">
        <v>675</v>
      </c>
      <c r="G30" s="283">
        <v>0</v>
      </c>
      <c r="H30" s="414">
        <v>675</v>
      </c>
      <c r="I30" s="415">
        <v>0</v>
      </c>
      <c r="J30" s="381"/>
      <c r="K30" s="397"/>
      <c r="L30" s="429"/>
    </row>
    <row r="31" spans="1:12" x14ac:dyDescent="0.25">
      <c r="A31" s="301"/>
      <c r="B31" s="302"/>
      <c r="C31" s="338">
        <v>3</v>
      </c>
      <c r="D31" s="271">
        <v>525</v>
      </c>
      <c r="E31" s="283">
        <v>0</v>
      </c>
      <c r="F31" s="271">
        <v>525</v>
      </c>
      <c r="G31" s="283">
        <v>0</v>
      </c>
      <c r="H31" s="414">
        <v>525</v>
      </c>
      <c r="I31" s="415">
        <v>0</v>
      </c>
      <c r="J31" s="381"/>
      <c r="K31" s="397"/>
      <c r="L31" s="429"/>
    </row>
    <row r="32" spans="1:12" x14ac:dyDescent="0.25">
      <c r="A32" s="301"/>
      <c r="B32" s="302"/>
      <c r="C32" s="338">
        <v>4</v>
      </c>
      <c r="D32" s="271">
        <v>1170</v>
      </c>
      <c r="E32" s="283">
        <v>13.2</v>
      </c>
      <c r="F32" s="271">
        <v>1170</v>
      </c>
      <c r="G32" s="283">
        <v>13.2</v>
      </c>
      <c r="H32" s="414">
        <v>1170</v>
      </c>
      <c r="I32" s="415">
        <v>13.2</v>
      </c>
      <c r="J32" s="381"/>
      <c r="K32" s="397"/>
      <c r="L32" s="429"/>
    </row>
    <row r="33" spans="1:12" ht="15.75" customHeight="1" x14ac:dyDescent="0.25">
      <c r="A33" s="301"/>
      <c r="B33" s="302"/>
      <c r="C33" s="338">
        <v>5</v>
      </c>
      <c r="D33" s="271">
        <v>930</v>
      </c>
      <c r="E33" s="283">
        <v>2.6</v>
      </c>
      <c r="F33" s="271">
        <v>930</v>
      </c>
      <c r="G33" s="283">
        <v>2.6</v>
      </c>
      <c r="H33" s="414">
        <v>930</v>
      </c>
      <c r="I33" s="415">
        <v>2.6</v>
      </c>
      <c r="J33" s="381"/>
      <c r="K33" s="397"/>
      <c r="L33" s="429"/>
    </row>
    <row r="34" spans="1:12" ht="15.75" customHeight="1" x14ac:dyDescent="0.25">
      <c r="A34" s="301"/>
      <c r="B34" s="302"/>
      <c r="C34" s="338">
        <v>6</v>
      </c>
      <c r="D34" s="271">
        <v>440</v>
      </c>
      <c r="E34" s="283">
        <v>0</v>
      </c>
      <c r="F34" s="271">
        <v>440</v>
      </c>
      <c r="G34" s="283">
        <v>0</v>
      </c>
      <c r="H34" s="414">
        <v>440</v>
      </c>
      <c r="I34" s="415">
        <v>0</v>
      </c>
      <c r="J34" s="381"/>
      <c r="K34" s="397"/>
      <c r="L34" s="429"/>
    </row>
    <row r="35" spans="1:12" ht="15.75" customHeight="1" x14ac:dyDescent="0.25">
      <c r="A35" s="301"/>
      <c r="B35" s="302"/>
      <c r="C35" s="338">
        <v>7</v>
      </c>
      <c r="D35" s="271">
        <v>810</v>
      </c>
      <c r="E35" s="283">
        <v>0</v>
      </c>
      <c r="F35" s="271">
        <v>810</v>
      </c>
      <c r="G35" s="283">
        <v>0</v>
      </c>
      <c r="H35" s="414">
        <v>810</v>
      </c>
      <c r="I35" s="415">
        <v>0</v>
      </c>
      <c r="J35" s="381"/>
      <c r="K35" s="397"/>
      <c r="L35" s="429"/>
    </row>
    <row r="36" spans="1:12" ht="15.75" customHeight="1" x14ac:dyDescent="0.25">
      <c r="A36" s="301"/>
      <c r="B36" s="302"/>
      <c r="C36" s="338">
        <v>8</v>
      </c>
      <c r="D36" s="271">
        <v>1505</v>
      </c>
      <c r="E36" s="283">
        <v>2.6</v>
      </c>
      <c r="F36" s="271">
        <v>1505</v>
      </c>
      <c r="G36" s="283">
        <v>2.6</v>
      </c>
      <c r="H36" s="414">
        <v>1505</v>
      </c>
      <c r="I36" s="415">
        <v>2.6</v>
      </c>
      <c r="J36" s="381"/>
      <c r="K36" s="397"/>
      <c r="L36" s="429"/>
    </row>
    <row r="37" spans="1:12" ht="15.75" customHeight="1" x14ac:dyDescent="0.25">
      <c r="A37" s="301"/>
      <c r="B37" s="302"/>
      <c r="C37" s="338">
        <v>9</v>
      </c>
      <c r="D37" s="285">
        <v>1290</v>
      </c>
      <c r="E37" s="286">
        <v>1</v>
      </c>
      <c r="F37" s="285">
        <v>1290</v>
      </c>
      <c r="G37" s="286">
        <v>1</v>
      </c>
      <c r="H37" s="416">
        <v>1290</v>
      </c>
      <c r="I37" s="417">
        <v>1</v>
      </c>
      <c r="J37" s="381"/>
      <c r="K37" s="397"/>
      <c r="L37" s="429"/>
    </row>
    <row r="38" spans="1:12" ht="15.75" customHeight="1" x14ac:dyDescent="0.25">
      <c r="A38" s="301"/>
      <c r="B38" s="302"/>
      <c r="C38" s="338">
        <v>10</v>
      </c>
      <c r="D38" s="271">
        <v>1035</v>
      </c>
      <c r="E38" s="283">
        <v>0</v>
      </c>
      <c r="F38" s="271">
        <v>1035</v>
      </c>
      <c r="G38" s="283">
        <v>0</v>
      </c>
      <c r="H38" s="414">
        <v>1035</v>
      </c>
      <c r="I38" s="415">
        <v>0</v>
      </c>
      <c r="J38" s="381"/>
      <c r="K38" s="397"/>
      <c r="L38" s="429"/>
    </row>
    <row r="39" spans="1:12" ht="15.75" customHeight="1" x14ac:dyDescent="0.25">
      <c r="A39" s="301"/>
      <c r="B39" s="302"/>
      <c r="C39" s="338">
        <v>11</v>
      </c>
      <c r="D39" s="271">
        <v>365</v>
      </c>
      <c r="E39" s="283">
        <v>0</v>
      </c>
      <c r="F39" s="271">
        <v>365</v>
      </c>
      <c r="G39" s="283">
        <v>0</v>
      </c>
      <c r="H39" s="414">
        <v>365</v>
      </c>
      <c r="I39" s="415">
        <v>0</v>
      </c>
      <c r="J39" s="381"/>
      <c r="K39" s="397"/>
      <c r="L39" s="429"/>
    </row>
    <row r="40" spans="1:12" ht="15.75" customHeight="1" x14ac:dyDescent="0.25">
      <c r="A40" s="301"/>
      <c r="B40" s="302"/>
      <c r="C40" s="338">
        <v>12</v>
      </c>
      <c r="D40" s="271">
        <v>260</v>
      </c>
      <c r="E40" s="283">
        <v>13.5</v>
      </c>
      <c r="F40" s="271">
        <v>260</v>
      </c>
      <c r="G40" s="283">
        <v>13.5</v>
      </c>
      <c r="H40" s="414">
        <v>260</v>
      </c>
      <c r="I40" s="415">
        <v>13.5</v>
      </c>
      <c r="J40" s="381"/>
      <c r="K40" s="397"/>
      <c r="L40" s="429"/>
    </row>
    <row r="41" spans="1:12" x14ac:dyDescent="0.25">
      <c r="A41" s="301"/>
      <c r="B41" s="302"/>
      <c r="C41" s="338">
        <v>13</v>
      </c>
      <c r="D41" s="271">
        <v>140</v>
      </c>
      <c r="E41" s="283">
        <v>67.400000000000006</v>
      </c>
      <c r="F41" s="271">
        <v>140</v>
      </c>
      <c r="G41" s="283">
        <v>67.400000000000006</v>
      </c>
      <c r="H41" s="414">
        <v>140</v>
      </c>
      <c r="I41" s="415">
        <v>67.400000000000006</v>
      </c>
      <c r="J41" s="381"/>
      <c r="K41" s="397"/>
      <c r="L41" s="429"/>
    </row>
    <row r="42" spans="1:12" x14ac:dyDescent="0.25">
      <c r="A42" s="301"/>
      <c r="B42" s="302"/>
      <c r="C42" s="338">
        <v>14</v>
      </c>
      <c r="D42" s="271">
        <v>1450</v>
      </c>
      <c r="E42" s="283">
        <v>0.3</v>
      </c>
      <c r="F42" s="271">
        <v>1450</v>
      </c>
      <c r="G42" s="283">
        <v>0.3</v>
      </c>
      <c r="H42" s="414">
        <v>1450</v>
      </c>
      <c r="I42" s="415">
        <v>0.3</v>
      </c>
      <c r="J42" s="381"/>
      <c r="K42" s="397"/>
      <c r="L42" s="429"/>
    </row>
    <row r="43" spans="1:12" x14ac:dyDescent="0.25">
      <c r="A43" s="301"/>
      <c r="B43" s="302"/>
      <c r="C43" s="338">
        <v>15</v>
      </c>
      <c r="D43" s="271">
        <v>1485</v>
      </c>
      <c r="E43" s="283">
        <v>0.3</v>
      </c>
      <c r="F43" s="271">
        <v>1485</v>
      </c>
      <c r="G43" s="283">
        <v>0.3</v>
      </c>
      <c r="H43" s="414">
        <v>1485</v>
      </c>
      <c r="I43" s="415">
        <v>0.3</v>
      </c>
      <c r="J43" s="381"/>
      <c r="K43" s="397"/>
      <c r="L43" s="429"/>
    </row>
    <row r="44" spans="1:12" ht="15.75" thickBot="1" x14ac:dyDescent="0.3">
      <c r="A44" s="301"/>
      <c r="B44" s="302"/>
      <c r="C44" s="338">
        <v>16</v>
      </c>
      <c r="D44" s="272">
        <v>0</v>
      </c>
      <c r="E44" s="287">
        <v>0</v>
      </c>
      <c r="F44" s="272">
        <v>0</v>
      </c>
      <c r="G44" s="287">
        <v>0</v>
      </c>
      <c r="H44" s="418">
        <v>0</v>
      </c>
      <c r="I44" s="419">
        <v>0</v>
      </c>
      <c r="J44" s="381"/>
      <c r="K44" s="397"/>
    </row>
    <row r="45" spans="1:12" x14ac:dyDescent="0.25">
      <c r="A45" s="301"/>
      <c r="B45" s="302"/>
      <c r="C45" s="66"/>
      <c r="D45" s="381"/>
      <c r="E45" s="381"/>
      <c r="F45" s="381"/>
      <c r="G45" s="381"/>
      <c r="H45" s="381"/>
      <c r="I45" s="381"/>
      <c r="J45" s="303"/>
      <c r="K45" s="301"/>
      <c r="L45" s="430"/>
    </row>
    <row r="46" spans="1:12" ht="15.75" x14ac:dyDescent="0.25">
      <c r="A46" s="301"/>
      <c r="B46" s="302"/>
      <c r="C46" s="1208" t="s">
        <v>702</v>
      </c>
      <c r="D46" s="1208"/>
      <c r="E46" s="1208"/>
      <c r="F46" s="1208"/>
      <c r="G46" s="1208"/>
      <c r="H46" s="1208"/>
      <c r="I46" s="1208"/>
      <c r="J46" s="66"/>
      <c r="K46" s="398"/>
      <c r="L46" s="432"/>
    </row>
    <row r="47" spans="1:12" x14ac:dyDescent="0.25">
      <c r="A47" s="301"/>
      <c r="B47" s="302"/>
      <c r="C47" s="1024" t="s">
        <v>2</v>
      </c>
      <c r="D47" s="66">
        <f>D8</f>
        <v>2010</v>
      </c>
      <c r="E47" s="66"/>
      <c r="F47" s="66">
        <f>F8</f>
        <v>2020</v>
      </c>
      <c r="G47" s="66"/>
      <c r="H47" s="66">
        <f>H7</f>
        <v>2011</v>
      </c>
      <c r="I47" s="66"/>
      <c r="J47" s="386"/>
      <c r="K47" s="400"/>
      <c r="L47" s="432"/>
    </row>
    <row r="48" spans="1:12" x14ac:dyDescent="0.25">
      <c r="A48" s="301"/>
      <c r="B48" s="302"/>
      <c r="C48" s="362" t="s">
        <v>413</v>
      </c>
      <c r="D48" s="277">
        <f>'2010ER'!AB4</f>
        <v>3750.9003016633078</v>
      </c>
      <c r="E48" s="278"/>
      <c r="F48" s="277">
        <f>'2020ER'!AB4</f>
        <v>3291.8135998721814</v>
      </c>
      <c r="G48" s="278"/>
      <c r="H48" s="277">
        <f>((($H$47-$D$47)*(F48-D48))/($F$47-$D$47))+D48</f>
        <v>3704.9916314841953</v>
      </c>
      <c r="I48" s="278"/>
      <c r="J48" s="386"/>
      <c r="K48" s="400"/>
      <c r="L48" s="432"/>
    </row>
    <row r="49" spans="1:13" x14ac:dyDescent="0.25">
      <c r="A49" s="301"/>
      <c r="B49" s="302"/>
      <c r="C49" s="362" t="s">
        <v>417</v>
      </c>
      <c r="D49" s="281">
        <f>'2010ER'!AB5</f>
        <v>2.9522376685274958</v>
      </c>
      <c r="E49" s="282"/>
      <c r="F49" s="281">
        <f>'2020ER'!AB5</f>
        <v>0.93910805035104805</v>
      </c>
      <c r="G49" s="282"/>
      <c r="H49" s="281">
        <f t="shared" ref="H49:H57" si="0">((($H$47-$D$47)*(F49-D49))/($F$47-$D$47))+D49</f>
        <v>2.750924706709851</v>
      </c>
      <c r="I49" s="282"/>
      <c r="J49" s="386"/>
      <c r="K49" s="400"/>
      <c r="L49" s="432"/>
    </row>
    <row r="50" spans="1:13" x14ac:dyDescent="0.25">
      <c r="A50" s="301"/>
      <c r="B50" s="302"/>
      <c r="C50" s="362" t="s">
        <v>416</v>
      </c>
      <c r="D50" s="281">
        <f>'2010ER'!AB6</f>
        <v>0.19839204428158921</v>
      </c>
      <c r="E50" s="282"/>
      <c r="F50" s="281">
        <f>'2020ER'!AB6</f>
        <v>8.6560978266842434E-2</v>
      </c>
      <c r="G50" s="282"/>
      <c r="H50" s="281">
        <f t="shared" si="0"/>
        <v>0.18720893768011454</v>
      </c>
      <c r="I50" s="282"/>
      <c r="J50" s="386"/>
      <c r="K50" s="400"/>
      <c r="L50" s="432"/>
    </row>
    <row r="51" spans="1:13" x14ac:dyDescent="0.25">
      <c r="A51" s="301"/>
      <c r="B51" s="302"/>
      <c r="C51" s="362" t="s">
        <v>415</v>
      </c>
      <c r="D51" s="275">
        <f>'2010ER'!AB7</f>
        <v>5.755505625407392</v>
      </c>
      <c r="E51" s="276"/>
      <c r="F51" s="275">
        <f>'2020ER'!AB7</f>
        <v>2.5860206751293329</v>
      </c>
      <c r="G51" s="276"/>
      <c r="H51" s="275">
        <f t="shared" si="0"/>
        <v>5.4385571303795857</v>
      </c>
      <c r="I51" s="276"/>
      <c r="J51" s="386"/>
      <c r="K51" s="400"/>
      <c r="L51" s="432"/>
    </row>
    <row r="52" spans="1:13" x14ac:dyDescent="0.25">
      <c r="A52" s="301"/>
      <c r="B52" s="302"/>
      <c r="C52" s="362" t="s">
        <v>414</v>
      </c>
      <c r="D52" s="281">
        <f>'2010ER'!AB8</f>
        <v>2.7543105969503339</v>
      </c>
      <c r="E52" s="282"/>
      <c r="F52" s="281">
        <f>'2020ER'!AB8</f>
        <v>0.61583922156998427</v>
      </c>
      <c r="G52" s="282"/>
      <c r="H52" s="281">
        <f t="shared" si="0"/>
        <v>2.5404634594122988</v>
      </c>
      <c r="I52" s="282"/>
      <c r="J52" s="386"/>
      <c r="K52" s="400"/>
      <c r="L52" s="432"/>
    </row>
    <row r="53" spans="1:13" x14ac:dyDescent="0.25">
      <c r="A53" s="301"/>
      <c r="B53" s="302"/>
      <c r="C53" s="363" t="s">
        <v>418</v>
      </c>
      <c r="D53" s="275">
        <f>'2010ER'!AL4</f>
        <v>7722.351052989884</v>
      </c>
      <c r="E53" s="276"/>
      <c r="F53" s="275">
        <f>'2020ER'!AL4</f>
        <v>7715.1016680449866</v>
      </c>
      <c r="G53" s="276"/>
      <c r="H53" s="275">
        <f t="shared" si="0"/>
        <v>7721.6261144953942</v>
      </c>
      <c r="I53" s="276"/>
      <c r="J53" s="386"/>
      <c r="K53" s="400"/>
      <c r="L53" s="432"/>
    </row>
    <row r="54" spans="1:13" x14ac:dyDescent="0.25">
      <c r="A54" s="301"/>
      <c r="B54" s="302"/>
      <c r="C54" s="363" t="s">
        <v>422</v>
      </c>
      <c r="D54" s="281">
        <f>'2010ER'!AL5</f>
        <v>71.266992895654184</v>
      </c>
      <c r="E54" s="282"/>
      <c r="F54" s="281">
        <f>'2020ER'!AL5</f>
        <v>28.755957883996196</v>
      </c>
      <c r="G54" s="282"/>
      <c r="H54" s="281">
        <f t="shared" si="0"/>
        <v>67.015889394488383</v>
      </c>
      <c r="I54" s="282"/>
      <c r="J54" s="386"/>
      <c r="K54" s="400"/>
      <c r="L54" s="432"/>
    </row>
    <row r="55" spans="1:13" x14ac:dyDescent="0.25">
      <c r="A55" s="301"/>
      <c r="B55" s="302"/>
      <c r="C55" s="363" t="s">
        <v>421</v>
      </c>
      <c r="D55" s="275">
        <f>'2010ER'!AL6</f>
        <v>4.0096486656834633</v>
      </c>
      <c r="E55" s="276"/>
      <c r="F55" s="275">
        <f>'2020ER'!AL6</f>
        <v>1.7179219731119526</v>
      </c>
      <c r="G55" s="276"/>
      <c r="H55" s="275">
        <f t="shared" si="0"/>
        <v>3.7804759964263122</v>
      </c>
      <c r="I55" s="276"/>
      <c r="J55" s="386"/>
      <c r="K55" s="400"/>
      <c r="L55" s="432"/>
    </row>
    <row r="56" spans="1:13" x14ac:dyDescent="0.25">
      <c r="A56" s="301"/>
      <c r="B56" s="302"/>
      <c r="C56" s="363" t="s">
        <v>420</v>
      </c>
      <c r="D56" s="281">
        <f>'2010ER'!AL7</f>
        <v>62.401660342818353</v>
      </c>
      <c r="E56" s="282"/>
      <c r="F56" s="281">
        <f>'2020ER'!AL7</f>
        <v>26.2668373090216</v>
      </c>
      <c r="G56" s="282"/>
      <c r="H56" s="281">
        <f t="shared" si="0"/>
        <v>58.788178039438677</v>
      </c>
      <c r="I56" s="282"/>
      <c r="J56" s="386"/>
      <c r="K56" s="400"/>
      <c r="L56" s="433"/>
    </row>
    <row r="57" spans="1:13" x14ac:dyDescent="0.25">
      <c r="A57" s="301"/>
      <c r="B57" s="302"/>
      <c r="C57" s="363" t="s">
        <v>419</v>
      </c>
      <c r="D57" s="279">
        <f>'2010ER'!AL8</f>
        <v>12.077454219452086</v>
      </c>
      <c r="E57" s="280"/>
      <c r="F57" s="279">
        <f>'2020ER'!AL8</f>
        <v>4.984839851937636</v>
      </c>
      <c r="G57" s="280"/>
      <c r="H57" s="279">
        <f t="shared" si="0"/>
        <v>11.368192782700641</v>
      </c>
      <c r="I57" s="280"/>
      <c r="J57" s="26"/>
      <c r="K57" s="401"/>
      <c r="L57" s="434"/>
    </row>
    <row r="58" spans="1:13" x14ac:dyDescent="0.25">
      <c r="A58" s="301"/>
      <c r="B58" s="302"/>
      <c r="C58" s="591" t="s">
        <v>1</v>
      </c>
      <c r="D58" s="26"/>
      <c r="E58" s="26"/>
      <c r="F58" s="26"/>
      <c r="G58" s="26"/>
      <c r="H58" s="26"/>
      <c r="I58" s="26"/>
      <c r="J58" s="387"/>
      <c r="K58" s="402"/>
      <c r="L58" s="434"/>
    </row>
    <row r="59" spans="1:13" x14ac:dyDescent="0.25">
      <c r="A59" s="301"/>
      <c r="B59" s="302"/>
      <c r="C59" s="379" t="s">
        <v>69</v>
      </c>
      <c r="D59" s="1228">
        <v>10</v>
      </c>
      <c r="E59" s="1229"/>
      <c r="F59" s="1228">
        <v>10</v>
      </c>
      <c r="G59" s="1229"/>
      <c r="H59" s="1228">
        <v>10</v>
      </c>
      <c r="I59" s="1229"/>
      <c r="J59" s="387"/>
      <c r="K59" s="402"/>
    </row>
    <row r="60" spans="1:13" x14ac:dyDescent="0.25">
      <c r="A60" s="301"/>
      <c r="B60" s="302"/>
      <c r="C60" s="379" t="s">
        <v>71</v>
      </c>
      <c r="D60" s="1228">
        <v>250</v>
      </c>
      <c r="E60" s="1229"/>
      <c r="F60" s="1228">
        <v>250</v>
      </c>
      <c r="G60" s="1229"/>
      <c r="H60" s="1228">
        <v>250</v>
      </c>
      <c r="I60" s="1229"/>
      <c r="J60" s="303"/>
      <c r="K60" s="301"/>
    </row>
    <row r="61" spans="1:13" x14ac:dyDescent="0.25">
      <c r="A61" s="301"/>
      <c r="B61" s="302"/>
      <c r="C61" s="29"/>
      <c r="D61"/>
      <c r="E61"/>
      <c r="F61"/>
      <c r="G61"/>
      <c r="H61"/>
      <c r="I61"/>
      <c r="J61" s="303"/>
      <c r="K61" s="301"/>
    </row>
    <row r="62" spans="1:13" ht="15.75" x14ac:dyDescent="0.25">
      <c r="A62" s="301"/>
      <c r="B62" s="302"/>
      <c r="C62" s="1208" t="s">
        <v>700</v>
      </c>
      <c r="D62" s="1208"/>
      <c r="E62" s="1208"/>
      <c r="F62" s="1208"/>
      <c r="G62" s="1208"/>
      <c r="H62" s="1208"/>
      <c r="I62" s="1208"/>
      <c r="J62" s="66"/>
      <c r="K62" s="398"/>
      <c r="L62" s="430"/>
    </row>
    <row r="63" spans="1:13" x14ac:dyDescent="0.25">
      <c r="A63" s="301"/>
      <c r="B63" s="302"/>
      <c r="C63" s="300" t="s">
        <v>725</v>
      </c>
      <c r="D63" s="66"/>
      <c r="E63" s="66"/>
      <c r="F63" s="66"/>
      <c r="G63" s="66"/>
      <c r="H63" s="1225" t="s">
        <v>710</v>
      </c>
      <c r="I63" s="1225"/>
      <c r="J63" s="388"/>
      <c r="K63" s="403"/>
      <c r="L63" s="435"/>
      <c r="M63" s="364"/>
    </row>
    <row r="64" spans="1:13" x14ac:dyDescent="0.25">
      <c r="A64" s="301"/>
      <c r="B64" s="302"/>
      <c r="C64" s="347" t="s">
        <v>274</v>
      </c>
      <c r="D64" s="254">
        <f>SUMPRODUCT(D11:D26,E11:E26)/3600</f>
        <v>114.86805555555556</v>
      </c>
      <c r="E64" s="257"/>
      <c r="F64" s="254">
        <f>SUMPRODUCT(F11:F26,G11:G26)/3600</f>
        <v>114.86805555555556</v>
      </c>
      <c r="G64" s="257"/>
      <c r="H64" s="254">
        <f>SUMPRODUCT(H11:H26,I11:I26)/3600</f>
        <v>114.86805555555556</v>
      </c>
      <c r="I64" s="257"/>
      <c r="J64" s="388"/>
      <c r="K64" s="403"/>
      <c r="L64" s="435"/>
    </row>
    <row r="65" spans="1:13" x14ac:dyDescent="0.25">
      <c r="A65" s="301"/>
      <c r="B65" s="302"/>
      <c r="C65" s="347" t="s">
        <v>275</v>
      </c>
      <c r="D65" s="254">
        <f>SUMPRODUCT(D29:D44,E29:E44)/3600</f>
        <v>11.095138888888888</v>
      </c>
      <c r="E65" s="257"/>
      <c r="F65" s="254">
        <f>SUMPRODUCT(F29:F44,G29:G44)/3600</f>
        <v>11.095138888888888</v>
      </c>
      <c r="G65" s="257"/>
      <c r="H65" s="254">
        <f>SUMPRODUCT(H29:H44,I29:I44)/3600</f>
        <v>11.095138888888888</v>
      </c>
      <c r="I65" s="257"/>
      <c r="J65" s="380"/>
      <c r="K65" s="404"/>
      <c r="L65" s="436"/>
      <c r="M65" s="364"/>
    </row>
    <row r="66" spans="1:13" x14ac:dyDescent="0.25">
      <c r="A66" s="301"/>
      <c r="B66" s="302"/>
      <c r="C66" s="347" t="s">
        <v>393</v>
      </c>
      <c r="D66" s="1234" t="e">
        <f>D$64*D$59*D$60*(D53*#REF!+(D48*(1-#REF!)))</f>
        <v>#REF!</v>
      </c>
      <c r="E66" s="1235"/>
      <c r="F66" s="1234" t="e">
        <f>F$64*F$59*F$60*(F53*#REF!+(F48*(1-#REF!)))</f>
        <v>#REF!</v>
      </c>
      <c r="G66" s="1235"/>
      <c r="H66" s="1232">
        <f>H$64*H$59*H$60*(H53*H$8+(H48*(1-H$8)))</f>
        <v>1213912434.1012771</v>
      </c>
      <c r="I66" s="1233"/>
      <c r="J66" s="380"/>
      <c r="K66" s="404"/>
      <c r="L66" s="436"/>
    </row>
    <row r="67" spans="1:13" x14ac:dyDescent="0.25">
      <c r="A67" s="301"/>
      <c r="B67" s="302"/>
      <c r="C67" s="347" t="s">
        <v>631</v>
      </c>
      <c r="D67" s="1234" t="e">
        <f>D$64*D$59*D$60*(D54*#REF!+(D49*(1-#REF!)))</f>
        <v>#REF!</v>
      </c>
      <c r="E67" s="1235"/>
      <c r="F67" s="1234" t="e">
        <f>F$64*F$59*F$60*(F54*#REF!+(F49*(1-#REF!)))</f>
        <v>#REF!</v>
      </c>
      <c r="G67" s="1235"/>
      <c r="H67" s="1232">
        <f>H$64*H$59*H$60*(H54*H$8+(H49*(1-H$8)))</f>
        <v>3189130.6786590014</v>
      </c>
      <c r="I67" s="1233"/>
      <c r="J67" s="380"/>
      <c r="K67" s="404"/>
      <c r="L67" s="436"/>
    </row>
    <row r="68" spans="1:13" x14ac:dyDescent="0.25">
      <c r="A68" s="301"/>
      <c r="B68" s="302"/>
      <c r="C68" s="347" t="s">
        <v>395</v>
      </c>
      <c r="D68" s="1234" t="e">
        <f>D$64*D$59*D$60*(D55*#REF!+(D50*(1-#REF!)))</f>
        <v>#REF!</v>
      </c>
      <c r="E68" s="1235"/>
      <c r="F68" s="1234" t="e">
        <f>F$64*F$59*F$60*(F55*#REF!+(F50*(1-#REF!)))</f>
        <v>#REF!</v>
      </c>
      <c r="G68" s="1235"/>
      <c r="H68" s="1232">
        <f>H$64*H$59*H$60*(H55*H$8+(H50*(1-H$8)))</f>
        <v>187905.08667709178</v>
      </c>
      <c r="I68" s="1233"/>
      <c r="J68" s="380"/>
      <c r="K68" s="404"/>
      <c r="L68" s="436"/>
    </row>
    <row r="69" spans="1:13" x14ac:dyDescent="0.25">
      <c r="A69" s="301"/>
      <c r="B69" s="302"/>
      <c r="C69" s="347" t="s">
        <v>396</v>
      </c>
      <c r="D69" s="1234" t="e">
        <f>D$64*D$59*D$60*(D56*#REF!+(D51*(1-#REF!)))</f>
        <v>#REF!</v>
      </c>
      <c r="E69" s="1235"/>
      <c r="F69" s="1234" t="e">
        <f>F$64*F$59*F$60*(F56*#REF!+(F51*(1-#REF!)))</f>
        <v>#REF!</v>
      </c>
      <c r="G69" s="1235"/>
      <c r="H69" s="1232">
        <f>H$64*H$59*H$60*(H56*H$8+(H51*(1-H$8)))</f>
        <v>3553445.5524823922</v>
      </c>
      <c r="I69" s="1233"/>
      <c r="J69" s="380"/>
      <c r="K69" s="404"/>
      <c r="L69" s="436"/>
    </row>
    <row r="70" spans="1:13" x14ac:dyDescent="0.25">
      <c r="A70" s="301"/>
      <c r="B70" s="302"/>
      <c r="C70" s="347" t="s">
        <v>394</v>
      </c>
      <c r="D70" s="1234" t="e">
        <f>D$64*D$59*D$60*(D57*#REF!+(D52*(1-#REF!)))</f>
        <v>#REF!</v>
      </c>
      <c r="E70" s="1235"/>
      <c r="F70" s="1234" t="e">
        <f>F$64*F$59*F$60*(F57*#REF!+(F52*(1-#REF!)))</f>
        <v>#REF!</v>
      </c>
      <c r="G70" s="1235"/>
      <c r="H70" s="1232">
        <f>H$64*H$59*H$60*(H57*H$8+(H52*(1-H$8)))</f>
        <v>1059103.0777410672</v>
      </c>
      <c r="I70" s="1233"/>
      <c r="J70" s="380"/>
      <c r="K70" s="404"/>
      <c r="L70" s="436"/>
    </row>
    <row r="71" spans="1:13" x14ac:dyDescent="0.25">
      <c r="A71" s="301"/>
      <c r="B71" s="302"/>
      <c r="C71" s="347" t="s">
        <v>397</v>
      </c>
      <c r="D71" s="1234" t="e">
        <f>D$65*D$59*D$60*(D53*#REF!+(D48*(1-#REF!)))</f>
        <v>#REF!</v>
      </c>
      <c r="E71" s="1235"/>
      <c r="F71" s="1234" t="e">
        <f>F$65*F$59*F$60*(F53*#REF!+(F48*(1-#REF!)))</f>
        <v>#REF!</v>
      </c>
      <c r="G71" s="1235"/>
      <c r="H71" s="1232">
        <f>H$65*H$59*H$60*(H53*H$8+(H48*(1-H$8)))</f>
        <v>117252155.00656612</v>
      </c>
      <c r="I71" s="1233"/>
      <c r="J71" s="380"/>
      <c r="K71" s="404"/>
      <c r="L71" s="436"/>
    </row>
    <row r="72" spans="1:13" x14ac:dyDescent="0.25">
      <c r="A72" s="301"/>
      <c r="B72" s="302"/>
      <c r="C72" s="347" t="s">
        <v>632</v>
      </c>
      <c r="D72" s="1234" t="e">
        <f>D$65*D$59*D$60*(D54*#REF!+(D49*(1-#REF!)))</f>
        <v>#REF!</v>
      </c>
      <c r="E72" s="1235"/>
      <c r="F72" s="1234" t="e">
        <f>F$65*F$59*F$60*(F54*#REF!+(F49*(1-#REF!)))</f>
        <v>#REF!</v>
      </c>
      <c r="G72" s="1235"/>
      <c r="H72" s="1232">
        <f>H$65*H$59*H$60*(H54*H$8+(H49*(1-H$8)))</f>
        <v>308039.05962719821</v>
      </c>
      <c r="I72" s="1233"/>
      <c r="J72" s="380"/>
      <c r="K72" s="404"/>
      <c r="L72" s="436"/>
    </row>
    <row r="73" spans="1:13" x14ac:dyDescent="0.25">
      <c r="A73" s="301"/>
      <c r="B73" s="302"/>
      <c r="C73" s="347" t="s">
        <v>399</v>
      </c>
      <c r="D73" s="1234" t="e">
        <f>D$65*D$59*D$60*(D55*#REF!+(D50*(1-#REF!)))</f>
        <v>#REF!</v>
      </c>
      <c r="E73" s="1235"/>
      <c r="F73" s="1234" t="e">
        <f>F$65*F$59*F$60*(F55*#REF!+(F50*(1-#REF!)))</f>
        <v>#REF!</v>
      </c>
      <c r="G73" s="1235"/>
      <c r="H73" s="1232">
        <f>H$65*H$59*H$60*(H55*H$8+(H50*(1-H$8)))</f>
        <v>18149.806963544495</v>
      </c>
      <c r="I73" s="1233"/>
      <c r="J73" s="380"/>
      <c r="K73" s="404"/>
      <c r="L73" s="436"/>
    </row>
    <row r="74" spans="1:13" x14ac:dyDescent="0.25">
      <c r="A74" s="301"/>
      <c r="B74" s="302"/>
      <c r="C74" s="347" t="s">
        <v>400</v>
      </c>
      <c r="D74" s="1234" t="e">
        <f>D$65*D$59*D$60*(D56*#REF!+(D51*(1-#REF!)))</f>
        <v>#REF!</v>
      </c>
      <c r="E74" s="1235"/>
      <c r="F74" s="1234" t="e">
        <f>F$65*F$59*F$60*(F56*#REF!+(F51*(1-#REF!)))</f>
        <v>#REF!</v>
      </c>
      <c r="G74" s="1235"/>
      <c r="H74" s="1232">
        <f>H$65*H$59*H$60*(H56*H$8+(H51*(1-H$8)))</f>
        <v>343228.33922986017</v>
      </c>
      <c r="I74" s="1233"/>
      <c r="J74" s="380"/>
      <c r="K74" s="404"/>
      <c r="L74" s="436"/>
    </row>
    <row r="75" spans="1:13" x14ac:dyDescent="0.25">
      <c r="A75" s="301"/>
      <c r="B75" s="302"/>
      <c r="C75" s="347" t="s">
        <v>398</v>
      </c>
      <c r="D75" s="1234" t="e">
        <f>D$65*D$59*D$60*(D57*#REF!+(D52*(1-#REF!)))</f>
        <v>#REF!</v>
      </c>
      <c r="E75" s="1235"/>
      <c r="F75" s="1234" t="e">
        <f>F$65*F$59*F$60*(F57*#REF!+(F52*(1-#REF!)))</f>
        <v>#REF!</v>
      </c>
      <c r="G75" s="1235"/>
      <c r="H75" s="1232">
        <f>H$65*H$59*H$60*(H57*H$8+(H52*(1-H$8)))</f>
        <v>102299.07425832191</v>
      </c>
      <c r="I75" s="1233"/>
      <c r="J75" s="380"/>
      <c r="K75" s="404"/>
      <c r="L75" s="436"/>
    </row>
    <row r="76" spans="1:13" x14ac:dyDescent="0.25">
      <c r="A76" s="301"/>
      <c r="B76" s="302"/>
      <c r="C76" s="195"/>
      <c r="D76" s="380"/>
      <c r="E76" s="380"/>
      <c r="F76" s="380"/>
      <c r="G76" s="380"/>
      <c r="H76" s="380"/>
      <c r="I76" s="380"/>
      <c r="J76" s="303"/>
      <c r="K76" s="301"/>
    </row>
    <row r="77" spans="1:13" ht="15.75" x14ac:dyDescent="0.25">
      <c r="A77" s="301"/>
      <c r="B77" s="302"/>
      <c r="C77" s="1210" t="s">
        <v>701</v>
      </c>
      <c r="D77" s="1210"/>
      <c r="E77" s="1210"/>
      <c r="F77" s="1210"/>
      <c r="G77" s="1210"/>
      <c r="H77" s="1210"/>
      <c r="I77" s="1210"/>
      <c r="J77" s="303"/>
      <c r="K77" s="405"/>
      <c r="L77" s="437"/>
    </row>
    <row r="78" spans="1:13" ht="16.5" thickBot="1" x14ac:dyDescent="0.3">
      <c r="A78" s="301"/>
      <c r="B78" s="302"/>
      <c r="C78" s="298" t="s">
        <v>990</v>
      </c>
      <c r="D78" s="366"/>
      <c r="E78" s="366"/>
      <c r="F78" s="366"/>
      <c r="G78" s="302"/>
      <c r="H78" s="302"/>
      <c r="I78" s="302"/>
      <c r="J78" s="389"/>
      <c r="K78" s="301"/>
    </row>
    <row r="79" spans="1:13" x14ac:dyDescent="0.25">
      <c r="A79" s="301"/>
      <c r="B79" s="302"/>
      <c r="C79" s="802" t="s">
        <v>124</v>
      </c>
      <c r="D79" s="1238">
        <f>(D64-D65)*D59*D60</f>
        <v>259432.29166666669</v>
      </c>
      <c r="E79" s="1239"/>
      <c r="F79" s="1238">
        <f>(F64-F65)*F59*F60</f>
        <v>259432.29166666669</v>
      </c>
      <c r="G79" s="1239"/>
      <c r="H79" s="1247">
        <f>(H64-H65)*H59*H60</f>
        <v>259432.29166666669</v>
      </c>
      <c r="I79" s="1248"/>
      <c r="J79" s="303"/>
      <c r="K79" s="406"/>
      <c r="L79" s="438"/>
    </row>
    <row r="80" spans="1:13" ht="15.75" thickBot="1" x14ac:dyDescent="0.3">
      <c r="A80" s="301"/>
      <c r="B80" s="1001"/>
      <c r="C80" s="508" t="s">
        <v>52</v>
      </c>
      <c r="D80" s="1043" t="s">
        <v>360</v>
      </c>
      <c r="E80" s="1072" t="s">
        <v>360</v>
      </c>
      <c r="F80" s="1072" t="s">
        <v>360</v>
      </c>
      <c r="G80" s="1067"/>
      <c r="H80" s="1049"/>
      <c r="I80" s="1043" t="s">
        <v>360</v>
      </c>
      <c r="J80" s="303"/>
      <c r="K80" s="406"/>
      <c r="L80" s="439"/>
      <c r="M80" s="440"/>
    </row>
    <row r="81" spans="1:13" x14ac:dyDescent="0.25">
      <c r="A81" s="301"/>
      <c r="B81" s="302"/>
      <c r="C81" s="29"/>
      <c r="D81" s="58"/>
      <c r="E81" s="58"/>
      <c r="F81" s="58"/>
      <c r="G81"/>
      <c r="H81"/>
      <c r="I81"/>
      <c r="J81" s="83"/>
      <c r="K81" s="407"/>
      <c r="L81" s="439"/>
      <c r="M81" s="440"/>
    </row>
    <row r="82" spans="1:13" ht="15.75" thickBot="1" x14ac:dyDescent="0.3">
      <c r="A82" s="301"/>
      <c r="B82" s="302"/>
      <c r="C82" s="298" t="s">
        <v>724</v>
      </c>
      <c r="D82" s="83"/>
      <c r="E82" s="83"/>
      <c r="F82" s="83"/>
      <c r="G82" s="83"/>
      <c r="H82" s="420"/>
      <c r="I82" s="420"/>
      <c r="J82" s="390"/>
      <c r="K82" s="407"/>
      <c r="L82" s="439"/>
      <c r="M82" s="440"/>
    </row>
    <row r="83" spans="1:13" ht="15.75" thickBot="1" x14ac:dyDescent="0.3">
      <c r="A83" s="301"/>
      <c r="B83" s="332"/>
      <c r="C83" s="802" t="s">
        <v>817</v>
      </c>
      <c r="D83" s="1236" t="e">
        <f>D66-D71</f>
        <v>#REF!</v>
      </c>
      <c r="E83" s="1237"/>
      <c r="F83" s="1236" t="e">
        <f>F66-F71</f>
        <v>#REF!</v>
      </c>
      <c r="G83" s="1246"/>
      <c r="H83" s="1240">
        <f>H66-H71</f>
        <v>1096660279.0947111</v>
      </c>
      <c r="I83" s="1241"/>
      <c r="J83" s="390"/>
      <c r="K83" s="407"/>
      <c r="L83" s="439"/>
      <c r="M83" s="440"/>
    </row>
    <row r="84" spans="1:13" ht="15.75" thickBot="1" x14ac:dyDescent="0.3">
      <c r="A84" s="301"/>
      <c r="B84" s="332"/>
      <c r="C84" s="330" t="s">
        <v>818</v>
      </c>
      <c r="D84" s="1236" t="e">
        <f>D67-D72</f>
        <v>#REF!</v>
      </c>
      <c r="E84" s="1237"/>
      <c r="F84" s="1236" t="e">
        <f>F67-F72</f>
        <v>#REF!</v>
      </c>
      <c r="G84" s="1246"/>
      <c r="H84" s="1242">
        <f>H67-H72</f>
        <v>2881091.6190318032</v>
      </c>
      <c r="I84" s="1243"/>
      <c r="J84" s="390"/>
      <c r="K84" s="407"/>
      <c r="L84" s="439"/>
      <c r="M84" s="441"/>
    </row>
    <row r="85" spans="1:13" ht="15.75" thickBot="1" x14ac:dyDescent="0.3">
      <c r="A85" s="301"/>
      <c r="B85" s="332"/>
      <c r="C85" s="803" t="s">
        <v>819</v>
      </c>
      <c r="D85" s="1236" t="e">
        <f>D68-D73</f>
        <v>#REF!</v>
      </c>
      <c r="E85" s="1237"/>
      <c r="F85" s="1236" t="e">
        <f>F68-F73</f>
        <v>#REF!</v>
      </c>
      <c r="G85" s="1246"/>
      <c r="H85" s="1242">
        <f>H68-H73</f>
        <v>169755.27971354729</v>
      </c>
      <c r="I85" s="1243"/>
      <c r="J85" s="390"/>
      <c r="K85" s="407"/>
      <c r="L85" s="439"/>
    </row>
    <row r="86" spans="1:13" ht="15.75" thickBot="1" x14ac:dyDescent="0.3">
      <c r="A86" s="301"/>
      <c r="B86" s="332"/>
      <c r="C86" s="803" t="s">
        <v>820</v>
      </c>
      <c r="D86" s="1236" t="e">
        <f>D69-D74</f>
        <v>#REF!</v>
      </c>
      <c r="E86" s="1237"/>
      <c r="F86" s="1236" t="e">
        <f>F69-F74</f>
        <v>#REF!</v>
      </c>
      <c r="G86" s="1246"/>
      <c r="H86" s="1242">
        <f>H69-H74</f>
        <v>3210217.2132525318</v>
      </c>
      <c r="I86" s="1243"/>
      <c r="J86" s="390"/>
      <c r="K86" s="407"/>
    </row>
    <row r="87" spans="1:13" ht="15.75" thickBot="1" x14ac:dyDescent="0.3">
      <c r="A87" s="301"/>
      <c r="B87" s="332"/>
      <c r="C87" s="330" t="s">
        <v>821</v>
      </c>
      <c r="D87" s="1236" t="e">
        <f>D70-D75</f>
        <v>#REF!</v>
      </c>
      <c r="E87" s="1237"/>
      <c r="F87" s="1236" t="e">
        <f>F70-F75</f>
        <v>#REF!</v>
      </c>
      <c r="G87" s="1246"/>
      <c r="H87" s="1244">
        <f>H70-H75</f>
        <v>956804.00348274526</v>
      </c>
      <c r="I87" s="1245"/>
      <c r="J87" s="303"/>
      <c r="K87" s="301"/>
    </row>
    <row r="88" spans="1:13" x14ac:dyDescent="0.25">
      <c r="A88" s="301"/>
      <c r="B88" s="332"/>
      <c r="C88" s="329" t="s">
        <v>974</v>
      </c>
      <c r="D88"/>
      <c r="E88"/>
      <c r="F88"/>
      <c r="G88"/>
      <c r="H88" s="947"/>
      <c r="I88" s="915">
        <f>(H83*0.00000110231)/$H$60</f>
        <v>4.8354383689955638</v>
      </c>
      <c r="J88" s="303"/>
      <c r="K88" s="301"/>
    </row>
    <row r="89" spans="1:13" x14ac:dyDescent="0.25">
      <c r="A89" s="301"/>
      <c r="B89" s="332"/>
      <c r="C89" s="330" t="s">
        <v>975</v>
      </c>
      <c r="D89"/>
      <c r="E89"/>
      <c r="F89"/>
      <c r="G89"/>
      <c r="H89" s="806"/>
      <c r="I89" s="805">
        <f t="shared" ref="I89:I92" si="1">(H84*0.00000110231)/$H$60</f>
        <v>1.2703424410299789E-2</v>
      </c>
      <c r="J89" s="303"/>
      <c r="K89" s="301"/>
    </row>
    <row r="90" spans="1:13" x14ac:dyDescent="0.25">
      <c r="A90" s="301"/>
      <c r="B90" s="332"/>
      <c r="C90" s="330" t="s">
        <v>976</v>
      </c>
      <c r="D90"/>
      <c r="E90"/>
      <c r="F90"/>
      <c r="G90"/>
      <c r="H90" s="806"/>
      <c r="I90" s="805">
        <f t="shared" si="1"/>
        <v>7.484917695241613E-4</v>
      </c>
      <c r="J90" s="303"/>
      <c r="K90" s="301"/>
    </row>
    <row r="91" spans="1:13" x14ac:dyDescent="0.25">
      <c r="A91" s="301"/>
      <c r="B91" s="332"/>
      <c r="C91" s="330" t="s">
        <v>977</v>
      </c>
      <c r="D91"/>
      <c r="E91"/>
      <c r="F91"/>
      <c r="G91"/>
      <c r="H91" s="948"/>
      <c r="I91" s="805">
        <f t="shared" si="1"/>
        <v>1.4154618145361593E-2</v>
      </c>
      <c r="J91" s="303"/>
      <c r="K91" s="301"/>
    </row>
    <row r="92" spans="1:13" ht="15.75" thickBot="1" x14ac:dyDescent="0.3">
      <c r="A92" s="301"/>
      <c r="B92" s="332"/>
      <c r="C92" s="331" t="s">
        <v>978</v>
      </c>
      <c r="D92"/>
      <c r="E92"/>
      <c r="F92"/>
      <c r="G92"/>
      <c r="H92" s="808"/>
      <c r="I92" s="807">
        <f t="shared" si="1"/>
        <v>4.2187784843162601E-3</v>
      </c>
      <c r="J92" s="303"/>
      <c r="K92" s="301"/>
    </row>
    <row r="93" spans="1:13" x14ac:dyDescent="0.25">
      <c r="A93" s="301"/>
      <c r="B93" s="302"/>
      <c r="C93"/>
      <c r="D93"/>
      <c r="E93"/>
      <c r="F93"/>
      <c r="G93"/>
      <c r="H93"/>
      <c r="I93"/>
      <c r="J93" s="303"/>
      <c r="K93" s="301"/>
    </row>
    <row r="94" spans="1:13" x14ac:dyDescent="0.25">
      <c r="A94" s="301"/>
      <c r="B94" s="301"/>
      <c r="C94" s="301"/>
      <c r="D94" s="301"/>
      <c r="E94" s="301"/>
      <c r="F94" s="301"/>
      <c r="G94" s="301"/>
      <c r="H94" s="301"/>
      <c r="I94" s="301"/>
      <c r="J94" s="301"/>
      <c r="K94" s="301"/>
    </row>
  </sheetData>
  <mergeCells count="64">
    <mergeCell ref="H79:I79"/>
    <mergeCell ref="F79:G79"/>
    <mergeCell ref="F66:G66"/>
    <mergeCell ref="F67:G67"/>
    <mergeCell ref="F68:G68"/>
    <mergeCell ref="F69:G69"/>
    <mergeCell ref="F70:G70"/>
    <mergeCell ref="H68:I68"/>
    <mergeCell ref="H69:I69"/>
    <mergeCell ref="H70:I70"/>
    <mergeCell ref="H66:I66"/>
    <mergeCell ref="H67:I67"/>
    <mergeCell ref="H74:I74"/>
    <mergeCell ref="H75:I75"/>
    <mergeCell ref="F71:G71"/>
    <mergeCell ref="F72:G72"/>
    <mergeCell ref="F83:G83"/>
    <mergeCell ref="F84:G84"/>
    <mergeCell ref="F85:G85"/>
    <mergeCell ref="F86:G86"/>
    <mergeCell ref="F87:G87"/>
    <mergeCell ref="H84:I84"/>
    <mergeCell ref="H85:I85"/>
    <mergeCell ref="H86:I86"/>
    <mergeCell ref="H87:I87"/>
    <mergeCell ref="D86:E86"/>
    <mergeCell ref="D87:E87"/>
    <mergeCell ref="D71:E71"/>
    <mergeCell ref="D84:E84"/>
    <mergeCell ref="D85:E85"/>
    <mergeCell ref="D66:E66"/>
    <mergeCell ref="D83:E83"/>
    <mergeCell ref="D68:E68"/>
    <mergeCell ref="D69:E69"/>
    <mergeCell ref="D70:E70"/>
    <mergeCell ref="D72:E72"/>
    <mergeCell ref="D73:E73"/>
    <mergeCell ref="D79:E79"/>
    <mergeCell ref="D67:E67"/>
    <mergeCell ref="D74:E74"/>
    <mergeCell ref="D75:E75"/>
    <mergeCell ref="C77:I77"/>
    <mergeCell ref="H83:I83"/>
    <mergeCell ref="H71:I71"/>
    <mergeCell ref="F73:G73"/>
    <mergeCell ref="F74:G74"/>
    <mergeCell ref="F75:G75"/>
    <mergeCell ref="H72:I72"/>
    <mergeCell ref="H73:I73"/>
    <mergeCell ref="C3:I3"/>
    <mergeCell ref="H6:I6"/>
    <mergeCell ref="C46:I46"/>
    <mergeCell ref="C62:I62"/>
    <mergeCell ref="H63:I63"/>
    <mergeCell ref="H7:I7"/>
    <mergeCell ref="C5:F5"/>
    <mergeCell ref="H5:I5"/>
    <mergeCell ref="F59:G59"/>
    <mergeCell ref="F60:G60"/>
    <mergeCell ref="H59:I59"/>
    <mergeCell ref="H60:I60"/>
    <mergeCell ref="H8:I8"/>
    <mergeCell ref="D59:E59"/>
    <mergeCell ref="D60:E6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OtherVariables!$I$121:$I$131</xm:f>
          </x14:formula1>
          <xm:sqref>H7:I7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80"/>
  <sheetViews>
    <sheetView showGridLines="0" zoomScale="80" zoomScaleNormal="80" workbookViewId="0">
      <selection activeCell="K58" sqref="K58"/>
    </sheetView>
  </sheetViews>
  <sheetFormatPr defaultRowHeight="15" x14ac:dyDescent="0.25"/>
  <cols>
    <col min="1" max="1" width="2.28515625" style="294" customWidth="1"/>
    <col min="2" max="2" width="1.7109375" style="294" customWidth="1"/>
    <col min="3" max="3" width="80.7109375" style="294" customWidth="1"/>
    <col min="4" max="4" width="18" style="294" hidden="1" customWidth="1"/>
    <col min="5" max="5" width="18.28515625" style="294" hidden="1" customWidth="1"/>
    <col min="6" max="6" width="26.28515625" style="294" customWidth="1"/>
    <col min="7" max="7" width="1.85546875" style="294" customWidth="1"/>
    <col min="8" max="8" width="2.28515625" style="294" customWidth="1"/>
    <col min="9" max="9" width="12.7109375" style="744" customWidth="1"/>
    <col min="10" max="10" width="13" style="744" customWidth="1"/>
    <col min="11" max="11" width="22.7109375" style="744" bestFit="1" customWidth="1"/>
    <col min="12" max="12" width="11.140625" style="744" customWidth="1"/>
    <col min="13" max="17" width="9.140625" style="744"/>
    <col min="18" max="18" width="25.5703125" style="744" customWidth="1"/>
    <col min="19" max="19" width="20.28515625" style="744" customWidth="1"/>
    <col min="20" max="21" width="9.140625" style="744"/>
    <col min="22" max="22" width="22.7109375" style="744" bestFit="1" customWidth="1"/>
    <col min="23" max="28" width="9.140625" style="744"/>
    <col min="29" max="16384" width="9.140625" style="294"/>
  </cols>
  <sheetData>
    <row r="1" spans="1:22" ht="12" customHeight="1" x14ac:dyDescent="0.25">
      <c r="A1" s="741"/>
      <c r="B1" s="741"/>
      <c r="C1" s="741"/>
      <c r="D1" s="741"/>
      <c r="E1" s="741"/>
      <c r="F1" s="741"/>
      <c r="G1" s="741"/>
      <c r="H1" s="741"/>
    </row>
    <row r="2" spans="1:22" ht="8.25" customHeight="1" x14ac:dyDescent="0.25">
      <c r="A2" s="741"/>
      <c r="B2" s="739"/>
      <c r="C2" s="1198"/>
      <c r="D2" s="1198"/>
      <c r="E2" s="1198"/>
      <c r="F2" s="1198"/>
      <c r="G2" s="739"/>
      <c r="H2" s="741"/>
      <c r="I2" s="1086"/>
      <c r="J2" s="1086"/>
      <c r="K2" s="1086"/>
      <c r="L2" s="1086"/>
      <c r="M2" s="1086"/>
      <c r="N2" s="1086"/>
      <c r="O2" s="1086"/>
      <c r="P2" s="1086"/>
      <c r="Q2" s="1086"/>
      <c r="R2" s="1086"/>
      <c r="S2" s="1086"/>
      <c r="T2" s="1086"/>
      <c r="U2" s="1086"/>
      <c r="V2" s="1086"/>
    </row>
    <row r="3" spans="1:22" ht="29.25" customHeight="1" x14ac:dyDescent="0.25">
      <c r="A3" s="741"/>
      <c r="B3" s="302"/>
      <c r="C3" s="1199" t="s">
        <v>782</v>
      </c>
      <c r="D3" s="1199"/>
      <c r="E3" s="1199"/>
      <c r="F3" s="1199"/>
      <c r="G3" s="382"/>
      <c r="H3" s="741"/>
    </row>
    <row r="4" spans="1:22" ht="15" customHeight="1" x14ac:dyDescent="0.25">
      <c r="A4" s="741"/>
      <c r="B4" s="302"/>
      <c r="C4"/>
      <c r="D4"/>
      <c r="E4"/>
      <c r="F4"/>
      <c r="G4"/>
      <c r="H4" s="741"/>
    </row>
    <row r="5" spans="1:22" ht="15" customHeight="1" x14ac:dyDescent="0.25">
      <c r="A5" s="741"/>
      <c r="B5" s="302"/>
      <c r="C5" s="1200" t="s">
        <v>703</v>
      </c>
      <c r="D5" s="1200"/>
      <c r="E5" s="1200"/>
      <c r="F5" s="1200"/>
      <c r="G5" s="302"/>
      <c r="H5" s="741"/>
    </row>
    <row r="6" spans="1:22" ht="15" customHeight="1" x14ac:dyDescent="0.25">
      <c r="A6" s="741"/>
      <c r="B6" s="302"/>
      <c r="C6" s="696" t="s">
        <v>711</v>
      </c>
      <c r="D6" s="699"/>
      <c r="E6" s="704"/>
      <c r="F6" s="696" t="s">
        <v>720</v>
      </c>
      <c r="G6" s="45"/>
      <c r="H6" s="741"/>
    </row>
    <row r="7" spans="1:22" ht="15" customHeight="1" x14ac:dyDescent="0.25">
      <c r="A7" s="741"/>
      <c r="B7" s="302"/>
      <c r="C7" s="443" t="s">
        <v>726</v>
      </c>
      <c r="D7" s="123">
        <v>2010</v>
      </c>
      <c r="E7" s="123">
        <v>2020</v>
      </c>
      <c r="F7" s="606">
        <v>2017</v>
      </c>
      <c r="G7" s="45"/>
      <c r="H7" s="741"/>
    </row>
    <row r="8" spans="1:22" ht="15" customHeight="1" x14ac:dyDescent="0.25">
      <c r="A8" s="741"/>
      <c r="B8" s="302"/>
      <c r="C8" s="443" t="s">
        <v>827</v>
      </c>
      <c r="D8" s="34" t="str">
        <f>F8</f>
        <v>Diesel Bus</v>
      </c>
      <c r="E8" s="34" t="str">
        <f>F8</f>
        <v>Diesel Bus</v>
      </c>
      <c r="F8" s="34" t="s">
        <v>384</v>
      </c>
      <c r="G8" s="45"/>
      <c r="H8" s="741"/>
    </row>
    <row r="9" spans="1:22" ht="15" customHeight="1" x14ac:dyDescent="0.25">
      <c r="A9" s="741"/>
      <c r="B9" s="302"/>
      <c r="C9" s="443" t="s">
        <v>265</v>
      </c>
      <c r="D9" s="268">
        <f t="shared" ref="D9:D11" si="0">F9</f>
        <v>15</v>
      </c>
      <c r="E9" s="268">
        <f t="shared" ref="E9:E11" si="1">F9</f>
        <v>15</v>
      </c>
      <c r="F9" s="34">
        <v>15</v>
      </c>
      <c r="G9" s="167"/>
      <c r="H9" s="741"/>
    </row>
    <row r="10" spans="1:22" ht="15" customHeight="1" x14ac:dyDescent="0.25">
      <c r="A10" s="741"/>
      <c r="B10" s="302"/>
      <c r="C10" s="443" t="s">
        <v>266</v>
      </c>
      <c r="D10" s="268">
        <f t="shared" si="0"/>
        <v>10</v>
      </c>
      <c r="E10" s="268">
        <f t="shared" si="1"/>
        <v>10</v>
      </c>
      <c r="F10" s="34">
        <v>10</v>
      </c>
      <c r="G10" s="167"/>
      <c r="H10" s="741"/>
    </row>
    <row r="11" spans="1:22" ht="16.5" customHeight="1" x14ac:dyDescent="0.25">
      <c r="A11" s="741"/>
      <c r="B11" s="302"/>
      <c r="C11" s="996" t="s">
        <v>267</v>
      </c>
      <c r="D11" s="268">
        <f t="shared" si="0"/>
        <v>18</v>
      </c>
      <c r="E11" s="268">
        <f t="shared" si="1"/>
        <v>18</v>
      </c>
      <c r="F11" s="34">
        <v>18</v>
      </c>
      <c r="G11" s="167"/>
      <c r="H11" s="741"/>
    </row>
    <row r="12" spans="1:22" x14ac:dyDescent="0.25">
      <c r="A12" s="741"/>
      <c r="B12" s="302"/>
      <c r="C12" s="443" t="s">
        <v>780</v>
      </c>
      <c r="D12" s="268" t="str">
        <f>F12</f>
        <v>Y</v>
      </c>
      <c r="E12" s="268" t="str">
        <f>F12</f>
        <v>Y</v>
      </c>
      <c r="F12" s="268" t="s">
        <v>21</v>
      </c>
      <c r="G12" s="167"/>
      <c r="H12" s="741"/>
    </row>
    <row r="13" spans="1:22" ht="15" customHeight="1" x14ac:dyDescent="0.25">
      <c r="A13" s="741"/>
      <c r="B13" s="302"/>
      <c r="C13" s="348" t="s">
        <v>268</v>
      </c>
      <c r="D13" s="34">
        <f>F13</f>
        <v>10000</v>
      </c>
      <c r="E13" s="34">
        <f>F13</f>
        <v>10000</v>
      </c>
      <c r="F13" s="34">
        <v>10000</v>
      </c>
      <c r="G13" s="167"/>
      <c r="H13" s="741"/>
    </row>
    <row r="14" spans="1:22" ht="15" customHeight="1" x14ac:dyDescent="0.25">
      <c r="A14" s="741"/>
      <c r="B14" s="302"/>
      <c r="C14" s="303"/>
      <c r="D14" s="381"/>
      <c r="E14" s="381"/>
      <c r="F14" s="381"/>
      <c r="G14" s="45"/>
      <c r="H14" s="741"/>
      <c r="I14" s="1086"/>
      <c r="J14" s="1085"/>
      <c r="K14" s="1086"/>
      <c r="L14" s="1085"/>
      <c r="N14" s="747"/>
      <c r="O14" s="747"/>
      <c r="P14" s="1125"/>
      <c r="Q14" s="1125"/>
    </row>
    <row r="15" spans="1:22" ht="15" customHeight="1" x14ac:dyDescent="0.25">
      <c r="A15" s="741"/>
      <c r="B15" s="302"/>
      <c r="C15" s="1200" t="s">
        <v>702</v>
      </c>
      <c r="D15" s="1200"/>
      <c r="E15" s="1200"/>
      <c r="F15" s="1200"/>
      <c r="G15" s="45"/>
      <c r="H15" s="741"/>
      <c r="I15" s="1086"/>
      <c r="J15" s="1085"/>
    </row>
    <row r="16" spans="1:22" x14ac:dyDescent="0.25">
      <c r="A16" s="741"/>
      <c r="B16" s="302"/>
      <c r="C16" s="745" t="s">
        <v>1</v>
      </c>
      <c r="D16" s="1"/>
      <c r="E16" s="1"/>
      <c r="F16" s="1"/>
      <c r="G16" s="167"/>
      <c r="H16" s="741"/>
    </row>
    <row r="17" spans="1:15" x14ac:dyDescent="0.25">
      <c r="A17" s="741"/>
      <c r="B17" s="302"/>
      <c r="C17" s="444" t="s">
        <v>51</v>
      </c>
      <c r="D17" s="169">
        <v>1.2</v>
      </c>
      <c r="E17" s="169">
        <v>1.2</v>
      </c>
      <c r="F17" s="169">
        <f>TREND(D17:E17,$D$7:$E$7,$F$7)</f>
        <v>1.2</v>
      </c>
      <c r="G17" s="167"/>
      <c r="H17" s="741"/>
    </row>
    <row r="18" spans="1:15" x14ac:dyDescent="0.25">
      <c r="A18" s="741"/>
      <c r="B18" s="302"/>
      <c r="C18" s="444" t="s">
        <v>271</v>
      </c>
      <c r="D18" s="170">
        <v>34</v>
      </c>
      <c r="E18" s="170">
        <v>34</v>
      </c>
      <c r="F18" s="169">
        <f>TREND(D18:E18,$D$7:$E$7,$F$7)</f>
        <v>34</v>
      </c>
      <c r="G18" s="184"/>
      <c r="H18" s="741"/>
    </row>
    <row r="19" spans="1:15" x14ac:dyDescent="0.25">
      <c r="A19" s="741"/>
      <c r="B19" s="302"/>
      <c r="C19" s="444" t="s">
        <v>347</v>
      </c>
      <c r="D19" s="170">
        <v>250</v>
      </c>
      <c r="E19" s="170">
        <v>250</v>
      </c>
      <c r="F19" s="169">
        <f>TREND(D19:E19,$D$7:$E$7,$F$7)</f>
        <v>250</v>
      </c>
      <c r="G19" s="198"/>
      <c r="H19" s="741"/>
    </row>
    <row r="20" spans="1:15" x14ac:dyDescent="0.25">
      <c r="A20" s="741"/>
      <c r="B20" s="302"/>
      <c r="C20" s="443" t="s">
        <v>9</v>
      </c>
      <c r="D20" s="170">
        <v>16</v>
      </c>
      <c r="E20" s="170">
        <v>16</v>
      </c>
      <c r="F20" s="169">
        <f>TREND(D20:E20,$D$7:$E$7,$F$7)</f>
        <v>16</v>
      </c>
      <c r="G20" s="167"/>
      <c r="H20" s="741"/>
    </row>
    <row r="21" spans="1:15" x14ac:dyDescent="0.25">
      <c r="A21" s="741"/>
      <c r="B21" s="302"/>
      <c r="C21" s="443" t="s">
        <v>570</v>
      </c>
      <c r="D21" s="231">
        <v>0.26</v>
      </c>
      <c r="E21" s="231">
        <v>0.26</v>
      </c>
      <c r="F21" s="231">
        <f>12.1/47.4</f>
        <v>0.25527426160337552</v>
      </c>
      <c r="G21" s="167"/>
      <c r="H21" s="741"/>
    </row>
    <row r="22" spans="1:15" x14ac:dyDescent="0.25">
      <c r="A22" s="741"/>
      <c r="B22" s="302"/>
      <c r="C22" s="443" t="s">
        <v>571</v>
      </c>
      <c r="D22" s="231">
        <v>0.22</v>
      </c>
      <c r="E22" s="231">
        <v>0.22</v>
      </c>
      <c r="F22" s="231">
        <f>10.1/47.4</f>
        <v>0.21308016877637131</v>
      </c>
      <c r="G22" s="167"/>
      <c r="H22" s="741"/>
    </row>
    <row r="23" spans="1:15" x14ac:dyDescent="0.25">
      <c r="A23" s="741"/>
      <c r="B23" s="302"/>
      <c r="C23" s="443" t="s">
        <v>569</v>
      </c>
      <c r="D23" s="173">
        <v>-0.54</v>
      </c>
      <c r="E23" s="173">
        <v>-0.54</v>
      </c>
      <c r="F23" s="173">
        <v>-0.54</v>
      </c>
      <c r="G23" s="167"/>
      <c r="H23" s="741"/>
    </row>
    <row r="24" spans="1:15" x14ac:dyDescent="0.25">
      <c r="A24" s="741"/>
      <c r="B24" s="302"/>
      <c r="C24" s="164" t="s">
        <v>541</v>
      </c>
      <c r="D24" s="636"/>
      <c r="E24" s="636"/>
      <c r="F24" s="636"/>
      <c r="G24" s="167"/>
      <c r="H24" s="741"/>
      <c r="K24" s="1086"/>
      <c r="L24" s="1089"/>
      <c r="M24" s="1086"/>
      <c r="N24" s="1086"/>
      <c r="O24" s="1086"/>
    </row>
    <row r="25" spans="1:15" x14ac:dyDescent="0.25">
      <c r="A25" s="741"/>
      <c r="B25" s="302"/>
      <c r="C25" s="351" t="s">
        <v>536</v>
      </c>
      <c r="D25" s="201">
        <f>'2010ER'!I11</f>
        <v>399.0632574243163</v>
      </c>
      <c r="E25" s="201">
        <f>'2020ER'!I11</f>
        <v>341.41853931409429</v>
      </c>
      <c r="F25" s="173">
        <f>TREND(D25:E25,$D$7:$E$7,$F$7)</f>
        <v>358.71195474716114</v>
      </c>
      <c r="G25" s="167"/>
      <c r="H25" s="741"/>
      <c r="I25" s="1086"/>
      <c r="J25" s="1086"/>
      <c r="K25" s="1086"/>
      <c r="L25" s="1089"/>
      <c r="M25" s="1086"/>
      <c r="N25" s="1086"/>
      <c r="O25" s="1086"/>
    </row>
    <row r="26" spans="1:15" x14ac:dyDescent="0.25">
      <c r="A26" s="741"/>
      <c r="B26" s="302"/>
      <c r="C26" s="351" t="s">
        <v>537</v>
      </c>
      <c r="D26" s="201">
        <f>'2010ER'!I27</f>
        <v>0.66317418612440482</v>
      </c>
      <c r="E26" s="201">
        <f>'2020ER'!I27</f>
        <v>0.21441608708446888</v>
      </c>
      <c r="F26" s="173">
        <f>TREND(D26:E26,$D$7:$E$7,$F$7)</f>
        <v>0.34904351679645629</v>
      </c>
      <c r="G26" s="167"/>
      <c r="H26" s="741"/>
      <c r="I26" s="1086"/>
      <c r="J26" s="1086"/>
      <c r="K26" s="1086"/>
      <c r="L26" s="1089"/>
      <c r="M26" s="1086"/>
      <c r="N26" s="1086"/>
      <c r="O26" s="1086"/>
    </row>
    <row r="27" spans="1:15" x14ac:dyDescent="0.25">
      <c r="A27" s="741"/>
      <c r="B27" s="302"/>
      <c r="C27" s="351" t="s">
        <v>538</v>
      </c>
      <c r="D27" s="201">
        <f>'2010ER'!I43</f>
        <v>1.9379311111124203E-2</v>
      </c>
      <c r="E27" s="201">
        <f>'2020ER'!I43</f>
        <v>1.310035453112551E-2</v>
      </c>
      <c r="F27" s="173">
        <f>TREND(D27:E27,$D$7:$E$7,$F$7)</f>
        <v>1.4984041505125223E-2</v>
      </c>
      <c r="G27" s="167"/>
      <c r="H27" s="741"/>
      <c r="I27" s="1126"/>
      <c r="J27" s="1086"/>
      <c r="K27" s="1086"/>
      <c r="L27" s="1086"/>
      <c r="M27" s="1086"/>
      <c r="N27" s="1086"/>
      <c r="O27" s="1086"/>
    </row>
    <row r="28" spans="1:15" x14ac:dyDescent="0.25">
      <c r="A28" s="741"/>
      <c r="B28" s="302"/>
      <c r="C28" s="351" t="s">
        <v>539</v>
      </c>
      <c r="D28" s="201">
        <f>'2010ER'!I59</f>
        <v>0.63634670338630683</v>
      </c>
      <c r="E28" s="201">
        <f>'2020ER'!I59</f>
        <v>0.2086373836848078</v>
      </c>
      <c r="F28" s="173">
        <f>TREND(D28:E28,$D$7:$E$7,$F$7)</f>
        <v>0.33695017959524876</v>
      </c>
      <c r="G28" s="167"/>
      <c r="H28" s="741"/>
      <c r="I28" s="1127"/>
      <c r="J28" s="1086"/>
      <c r="K28" s="1086"/>
      <c r="L28" s="1086"/>
      <c r="M28" s="1086"/>
      <c r="N28" s="1086"/>
      <c r="O28" s="1086"/>
    </row>
    <row r="29" spans="1:15" x14ac:dyDescent="0.25">
      <c r="A29" s="741"/>
      <c r="B29" s="302"/>
      <c r="C29" s="351" t="s">
        <v>540</v>
      </c>
      <c r="D29" s="201">
        <f>'2010ER'!I75</f>
        <v>0.24536793067196902</v>
      </c>
      <c r="E29" s="201">
        <f>'2020ER'!I75</f>
        <v>7.8435627739216918E-2</v>
      </c>
      <c r="F29" s="173">
        <f>TREND(D29:E29,$D$7:$E$7,$F$7)</f>
        <v>0.12851531861903709</v>
      </c>
      <c r="G29" s="167"/>
      <c r="H29" s="741"/>
      <c r="I29" s="1127"/>
      <c r="J29" s="1086"/>
      <c r="K29" s="1086"/>
      <c r="L29" s="1086"/>
      <c r="M29" s="1086"/>
      <c r="N29" s="1086"/>
      <c r="O29" s="1086"/>
    </row>
    <row r="30" spans="1:15" x14ac:dyDescent="0.25">
      <c r="A30" s="741"/>
      <c r="B30" s="302"/>
      <c r="C30" s="164" t="s">
        <v>542</v>
      </c>
      <c r="D30" s="83"/>
      <c r="E30" s="83"/>
      <c r="F30" s="83"/>
      <c r="G30" s="167"/>
      <c r="H30" s="741"/>
      <c r="I30" s="1127"/>
      <c r="J30" s="1086"/>
      <c r="K30" s="1086"/>
      <c r="L30" s="1086"/>
      <c r="M30" s="1086"/>
      <c r="N30" s="1086"/>
      <c r="O30" s="1086"/>
    </row>
    <row r="31" spans="1:15" x14ac:dyDescent="0.25">
      <c r="A31" s="741"/>
      <c r="B31" s="302"/>
      <c r="C31" s="351" t="s">
        <v>536</v>
      </c>
      <c r="D31" s="230">
        <f ca="1">INDIRECT("'Transit-AltFuelER'!"&amp;VLOOKUP(D$8,OtherVariables!$A$368:$B$373,2,FALSE)&amp;"2")</f>
        <v>1390.9183284656999</v>
      </c>
      <c r="E31" s="230">
        <f ca="1">INDIRECT("'Transit-AltFuelER'!"&amp;VLOOKUP(E$8,OtherVariables!$A$368:$B$373,2,FALSE)&amp;"7")</f>
        <v>1386.0966752893901</v>
      </c>
      <c r="F31" s="173">
        <f ca="1">TREND(D31:E31,$D$7:$E$7,$F$7)</f>
        <v>1387.5431712422833</v>
      </c>
      <c r="G31" s="167"/>
      <c r="H31" s="741"/>
      <c r="I31" s="1086"/>
      <c r="J31" s="1086"/>
    </row>
    <row r="32" spans="1:15" x14ac:dyDescent="0.25">
      <c r="A32" s="741"/>
      <c r="B32" s="302"/>
      <c r="C32" s="351" t="s">
        <v>537</v>
      </c>
      <c r="D32" s="230">
        <f ca="1">INDIRECT("'Transit-AltFuelER'!"&amp;VLOOKUP(D$8,OtherVariables!$A$368:$B$373,2,FALSE)&amp;"3")</f>
        <v>1.6760393953157799</v>
      </c>
      <c r="E32" s="230">
        <f ca="1">INDIRECT("'Transit-AltFuelER'!"&amp;VLOOKUP(E$8,OtherVariables!$A$368:$B$373,2,FALSE)&amp;"8")</f>
        <v>0.97891588194847301</v>
      </c>
      <c r="F32" s="173">
        <f ca="1">TREND(D32:E32,$D$7:$E$7,$F$7)</f>
        <v>1.188052935958666</v>
      </c>
      <c r="G32" s="167"/>
      <c r="H32" s="741"/>
    </row>
    <row r="33" spans="1:8" x14ac:dyDescent="0.25">
      <c r="A33" s="741"/>
      <c r="B33" s="302"/>
      <c r="C33" s="351" t="s">
        <v>538</v>
      </c>
      <c r="D33" s="230">
        <f ca="1">INDIRECT("'Transit-AltFuelER'!"&amp;VLOOKUP(D$8,OtherVariables!$A$368:$B$373,2,FALSE)&amp;"4")</f>
        <v>4.5958139680688979E-2</v>
      </c>
      <c r="E33" s="230">
        <f ca="1">INDIRECT("'Transit-AltFuelER'!"&amp;VLOOKUP(E$8,OtherVariables!$A$368:$B$373,2,FALSE)&amp;"9")</f>
        <v>3.2810855041907935E-2</v>
      </c>
      <c r="F33" s="173">
        <f ca="1">TREND(D33:E33,$D$7:$E$7,$F$7)</f>
        <v>3.6755040433542607E-2</v>
      </c>
      <c r="G33" s="167"/>
      <c r="H33" s="741"/>
    </row>
    <row r="34" spans="1:8" x14ac:dyDescent="0.25">
      <c r="A34" s="741"/>
      <c r="B34" s="302"/>
      <c r="C34" s="351" t="s">
        <v>539</v>
      </c>
      <c r="D34" s="230">
        <f ca="1">INDIRECT("'Transit-AltFuelER'!"&amp;VLOOKUP(D$8,OtherVariables!$A$368:$B$373,2,FALSE)&amp;"5")</f>
        <v>1.38785587882015</v>
      </c>
      <c r="E34" s="230">
        <f ca="1">INDIRECT("'Transit-AltFuelER'!"&amp;VLOOKUP(E$8,OtherVariables!$A$368:$B$373,2,FALSE)&amp;"10")</f>
        <v>0.79683648009321995</v>
      </c>
      <c r="F34" s="173">
        <f ca="1">TREND(D34:E34,$D$7:$E$7,$F$7)</f>
        <v>0.97414229971130339</v>
      </c>
      <c r="G34" s="167"/>
      <c r="H34" s="741"/>
    </row>
    <row r="35" spans="1:8" x14ac:dyDescent="0.25">
      <c r="A35" s="741"/>
      <c r="B35" s="302"/>
      <c r="C35" s="351" t="s">
        <v>540</v>
      </c>
      <c r="D35" s="230">
        <f ca="1">INDIRECT("'Transit-AltFuelER'!"&amp;VLOOKUP(D$8,OtherVariables!$A$368:$B$373,2,FALSE)&amp;"6")</f>
        <v>6.6031232050939206E-2</v>
      </c>
      <c r="E35" s="230">
        <f ca="1">INDIRECT("'Transit-AltFuelER'!"&amp;VLOOKUP(E$8,OtherVariables!$A$368:$B$373,2,FALSE)&amp;"11")</f>
        <v>5.6372874494692901E-2</v>
      </c>
      <c r="F35" s="173">
        <f ca="1">TREND(D35:E35,$D$7:$E$7,$F$7)</f>
        <v>5.9270381761566737E-2</v>
      </c>
      <c r="G35" s="167"/>
      <c r="H35" s="741"/>
    </row>
    <row r="36" spans="1:8" x14ac:dyDescent="0.25">
      <c r="A36" s="741"/>
      <c r="B36" s="302"/>
      <c r="C36"/>
      <c r="D36"/>
      <c r="E36"/>
      <c r="F36"/>
      <c r="G36" s="167"/>
      <c r="H36" s="741"/>
    </row>
    <row r="37" spans="1:8" ht="15.75" x14ac:dyDescent="0.25">
      <c r="A37" s="741"/>
      <c r="B37" s="302"/>
      <c r="C37" s="1200" t="s">
        <v>700</v>
      </c>
      <c r="D37" s="1200"/>
      <c r="E37" s="1200"/>
      <c r="F37" s="1200"/>
      <c r="G37" s="167"/>
      <c r="H37" s="741"/>
    </row>
    <row r="38" spans="1:8" ht="15.75" x14ac:dyDescent="0.25">
      <c r="A38" s="741"/>
      <c r="B38" s="302"/>
      <c r="C38" s="700" t="s">
        <v>711</v>
      </c>
      <c r="D38" s="699"/>
      <c r="E38" s="704"/>
      <c r="F38" s="700" t="s">
        <v>710</v>
      </c>
      <c r="G38" s="167"/>
      <c r="H38" s="741"/>
    </row>
    <row r="39" spans="1:8" x14ac:dyDescent="0.25">
      <c r="A39" s="741"/>
      <c r="B39" s="302"/>
      <c r="C39" s="746" t="s">
        <v>816</v>
      </c>
      <c r="D39" s="171">
        <f>IF(D13&lt;&gt;0,D13*D19,#REF!)</f>
        <v>2500000</v>
      </c>
      <c r="E39" s="171">
        <f>IF(E13&lt;&gt;0,E13*E19,#REF!)</f>
        <v>2500000</v>
      </c>
      <c r="F39" s="171">
        <f>F13*F19</f>
        <v>2500000</v>
      </c>
      <c r="G39"/>
      <c r="H39" s="741"/>
    </row>
    <row r="40" spans="1:8" x14ac:dyDescent="0.25">
      <c r="A40" s="741"/>
      <c r="B40" s="302"/>
      <c r="C40" s="746" t="s">
        <v>828</v>
      </c>
      <c r="D40" s="968">
        <f>IF(D12="Y",(1+((D$22-D$21)*D$23))*D39,"NA")</f>
        <v>2554000</v>
      </c>
      <c r="E40" s="968">
        <f>IF(E12="Y",(1+((E$22-E$21)*E$23))*E39,"NA")</f>
        <v>2554000</v>
      </c>
      <c r="F40" s="968">
        <f>IF(F12="Y",((F$22-F$21)*F$23)*F39,"NA")</f>
        <v>56962.025316455678</v>
      </c>
      <c r="G40" s="302"/>
      <c r="H40" s="741"/>
    </row>
    <row r="41" spans="1:8" x14ac:dyDescent="0.25">
      <c r="A41" s="741"/>
      <c r="B41" s="302"/>
      <c r="C41" s="746" t="s">
        <v>361</v>
      </c>
      <c r="D41" s="249">
        <f t="shared" ref="D41:E41" si="2">IF(D40="NA",(D39/$D$17),(D40/$F$17))</f>
        <v>2128333.3333333335</v>
      </c>
      <c r="E41" s="249">
        <f t="shared" si="2"/>
        <v>2128333.3333333335</v>
      </c>
      <c r="F41" s="249">
        <f>IF(F40="NA",(F39/$F$17),((F40+F39)/$F$17))</f>
        <v>2130801.6877637133</v>
      </c>
      <c r="G41" s="167"/>
      <c r="H41" s="741"/>
    </row>
    <row r="42" spans="1:8" x14ac:dyDescent="0.25">
      <c r="A42" s="741"/>
      <c r="B42" s="302"/>
      <c r="C42" s="1"/>
      <c r="D42" s="177"/>
      <c r="E42" s="177"/>
      <c r="F42" s="177"/>
      <c r="G42" s="167"/>
      <c r="H42" s="741"/>
    </row>
    <row r="43" spans="1:8" ht="15.75" x14ac:dyDescent="0.25">
      <c r="A43" s="741"/>
      <c r="B43" s="302"/>
      <c r="C43" s="1197" t="s">
        <v>701</v>
      </c>
      <c r="D43" s="1197"/>
      <c r="E43" s="1197"/>
      <c r="F43" s="1197"/>
      <c r="G43" s="167"/>
      <c r="H43" s="741"/>
    </row>
    <row r="44" spans="1:8" ht="15.75" thickBot="1" x14ac:dyDescent="0.3">
      <c r="A44" s="741"/>
      <c r="B44" s="302"/>
      <c r="C44" s="742" t="s">
        <v>990</v>
      </c>
      <c r="D44" s="742"/>
      <c r="E44" s="742"/>
      <c r="F44" s="742"/>
      <c r="G44" s="167"/>
      <c r="H44" s="741"/>
    </row>
    <row r="45" spans="1:8" ht="15.75" thickBot="1" x14ac:dyDescent="0.3">
      <c r="A45" s="741"/>
      <c r="B45" s="332"/>
      <c r="C45" s="734" t="s">
        <v>124</v>
      </c>
      <c r="D45" s="199" t="s">
        <v>360</v>
      </c>
      <c r="E45" s="199" t="s">
        <v>360</v>
      </c>
      <c r="F45" s="1033" t="s">
        <v>360</v>
      </c>
      <c r="G45" s="167"/>
      <c r="H45" s="741"/>
    </row>
    <row r="46" spans="1:8" ht="15.75" thickBot="1" x14ac:dyDescent="0.3">
      <c r="A46" s="741"/>
      <c r="B46" s="332"/>
      <c r="C46" s="735" t="s">
        <v>829</v>
      </c>
      <c r="D46" s="1025"/>
      <c r="E46" s="1025"/>
      <c r="F46" s="1034">
        <f>IF(F12="Y",(F40/$F$17)*$F$20,"N/A")</f>
        <v>759493.67088607571</v>
      </c>
      <c r="G46" s="167"/>
      <c r="H46" s="741"/>
    </row>
    <row r="47" spans="1:8" ht="15.75" thickBot="1" x14ac:dyDescent="0.3">
      <c r="A47" s="741"/>
      <c r="B47" s="332"/>
      <c r="C47" s="736" t="s">
        <v>830</v>
      </c>
      <c r="D47" s="937">
        <f>IF(D12="Y",(D40/$F$17)*$F$20,(D39/$F$17)*$F$20)</f>
        <v>34053333.333333336</v>
      </c>
      <c r="E47" s="937">
        <f>IF(E12="Y",(E40/$F$17)*$F$20,(E39/$F$17)*$F$20)</f>
        <v>34053333.333333336</v>
      </c>
      <c r="F47" s="1035">
        <f>IF(F12="Y",((F40+F39)/$F$17)*$F$20,(F39/$F$17)*$F$20)</f>
        <v>34092827.004219413</v>
      </c>
      <c r="G47" s="167"/>
      <c r="H47" s="741"/>
    </row>
    <row r="48" spans="1:8" x14ac:dyDescent="0.25">
      <c r="A48" s="741"/>
      <c r="B48" s="302"/>
      <c r="C48"/>
      <c r="D48"/>
      <c r="E48"/>
      <c r="F48"/>
      <c r="G48" s="167"/>
      <c r="H48" s="741"/>
    </row>
    <row r="49" spans="1:8" ht="15.75" thickBot="1" x14ac:dyDescent="0.3">
      <c r="A49" s="741"/>
      <c r="B49" s="302"/>
      <c r="C49" s="742" t="s">
        <v>831</v>
      </c>
      <c r="D49"/>
      <c r="E49"/>
      <c r="F49"/>
      <c r="G49" s="167"/>
      <c r="H49" s="741"/>
    </row>
    <row r="50" spans="1:8" ht="15.75" thickBot="1" x14ac:dyDescent="0.3">
      <c r="A50" s="741"/>
      <c r="B50" s="332"/>
      <c r="C50" s="802" t="s">
        <v>817</v>
      </c>
      <c r="D50" s="42">
        <f t="shared" ref="D50:E54" si="3">D$47*D25</f>
        <v>13589434126.156052</v>
      </c>
      <c r="E50" s="42">
        <f t="shared" si="3"/>
        <v>11626439325.442625</v>
      </c>
      <c r="F50" s="1030">
        <f>IF(F12="Y",F$46*F25,"N/A")</f>
        <v>272439459.30164129</v>
      </c>
      <c r="G50" s="167"/>
      <c r="H50" s="741"/>
    </row>
    <row r="51" spans="1:8" ht="15.75" thickBot="1" x14ac:dyDescent="0.3">
      <c r="A51" s="741"/>
      <c r="B51" s="332"/>
      <c r="C51" s="330" t="s">
        <v>818</v>
      </c>
      <c r="D51" s="42">
        <f t="shared" si="3"/>
        <v>22583291.6181564</v>
      </c>
      <c r="E51" s="42">
        <f t="shared" si="3"/>
        <v>7301582.4855164476</v>
      </c>
      <c r="F51" s="1031">
        <f>IF(F12="Y",F$46*F26,"N/A")</f>
        <v>265096.3418707262</v>
      </c>
      <c r="G51" s="167"/>
      <c r="H51" s="741"/>
    </row>
    <row r="52" spans="1:8" ht="15.75" thickBot="1" x14ac:dyDescent="0.3">
      <c r="A52" s="741"/>
      <c r="B52" s="332"/>
      <c r="C52" s="803" t="s">
        <v>819</v>
      </c>
      <c r="D52" s="42">
        <f t="shared" si="3"/>
        <v>659930.14103748288</v>
      </c>
      <c r="E52" s="42">
        <f t="shared" si="3"/>
        <v>446110.7396332607</v>
      </c>
      <c r="F52" s="1031">
        <f>IF(F12="Y",F$46*F27,"N/A")</f>
        <v>11380.284687436875</v>
      </c>
      <c r="G52"/>
      <c r="H52" s="741"/>
    </row>
    <row r="53" spans="1:8" ht="15.75" thickBot="1" x14ac:dyDescent="0.3">
      <c r="A53" s="741"/>
      <c r="B53" s="332"/>
      <c r="C53" s="803" t="s">
        <v>820</v>
      </c>
      <c r="D53" s="42">
        <f t="shared" si="3"/>
        <v>21669726.405981705</v>
      </c>
      <c r="E53" s="42">
        <f t="shared" si="3"/>
        <v>7104798.3724133223</v>
      </c>
      <c r="F53" s="1031">
        <f>IF(F12="Y",F$46*F28,"N/A")</f>
        <v>255911.52880651795</v>
      </c>
      <c r="G53"/>
      <c r="H53" s="741"/>
    </row>
    <row r="54" spans="1:8" ht="15.75" thickBot="1" x14ac:dyDescent="0.3">
      <c r="A54" s="741"/>
      <c r="B54" s="332"/>
      <c r="C54" s="330" t="s">
        <v>821</v>
      </c>
      <c r="D54" s="42">
        <f t="shared" si="3"/>
        <v>8355595.9324827855</v>
      </c>
      <c r="E54" s="42">
        <f t="shared" si="3"/>
        <v>2670994.5766128004</v>
      </c>
      <c r="F54" s="1032">
        <f>IF(F12="Y",F$46*F29,"N/A")</f>
        <v>97606.571103066119</v>
      </c>
      <c r="G54"/>
      <c r="H54" s="741"/>
    </row>
    <row r="55" spans="1:8" x14ac:dyDescent="0.25">
      <c r="A55" s="741"/>
      <c r="B55" s="332"/>
      <c r="C55" s="329" t="s">
        <v>974</v>
      </c>
      <c r="D55" s="707"/>
      <c r="E55" s="704"/>
      <c r="F55" s="1037">
        <f>IF(F12="Y",(F50*0.00000110231)/$F$19,"N/A")</f>
        <v>1.2012509615311691</v>
      </c>
      <c r="G55" s="302"/>
      <c r="H55" s="741"/>
    </row>
    <row r="56" spans="1:8" x14ac:dyDescent="0.25">
      <c r="A56" s="741"/>
      <c r="B56" s="332"/>
      <c r="C56" s="330" t="s">
        <v>975</v>
      </c>
      <c r="D56" s="708"/>
      <c r="E56" s="704"/>
      <c r="F56" s="1038">
        <f>IF(F12="Y",(F51*0.00000110231)/$F$19,"N/A")</f>
        <v>1.1688733944300808E-3</v>
      </c>
      <c r="G56" s="302"/>
      <c r="H56" s="741"/>
    </row>
    <row r="57" spans="1:8" x14ac:dyDescent="0.25">
      <c r="A57" s="741"/>
      <c r="B57" s="332"/>
      <c r="C57" s="330" t="s">
        <v>976</v>
      </c>
      <c r="D57" s="708"/>
      <c r="E57" s="704"/>
      <c r="F57" s="1038">
        <f>IF(F12="Y",(F52*0.00000110231)/$F$19,"N/A")</f>
        <v>5.0178406455234175E-5</v>
      </c>
      <c r="G57" s="302"/>
      <c r="H57" s="741"/>
    </row>
    <row r="58" spans="1:8" x14ac:dyDescent="0.25">
      <c r="A58" s="741"/>
      <c r="B58" s="332"/>
      <c r="C58" s="330" t="s">
        <v>977</v>
      </c>
      <c r="D58" s="708"/>
      <c r="E58" s="704"/>
      <c r="F58" s="1038">
        <f>IF(F12="Y",(F53*0.00000110231)/$F$19,"N/A")</f>
        <v>1.1283753492748515E-3</v>
      </c>
      <c r="G58" s="302"/>
      <c r="H58" s="741"/>
    </row>
    <row r="59" spans="1:8" ht="15.75" thickBot="1" x14ac:dyDescent="0.3">
      <c r="A59" s="741"/>
      <c r="B59" s="332"/>
      <c r="C59" s="331" t="s">
        <v>978</v>
      </c>
      <c r="D59" s="709"/>
      <c r="E59" s="527"/>
      <c r="F59" s="1039">
        <f>IF(F12="Y",(F54*0.00000110231)/$F$19,"N/A")</f>
        <v>4.303707975704833E-4</v>
      </c>
      <c r="G59" s="302"/>
      <c r="H59" s="741"/>
    </row>
    <row r="60" spans="1:8" x14ac:dyDescent="0.25">
      <c r="A60" s="741"/>
      <c r="B60" s="2"/>
      <c r="C60" s="522"/>
      <c r="D60" s="63"/>
      <c r="E60" s="63"/>
      <c r="F60" s="63"/>
      <c r="G60" s="302"/>
      <c r="H60" s="741"/>
    </row>
    <row r="61" spans="1:8" ht="15.75" thickBot="1" x14ac:dyDescent="0.3">
      <c r="A61" s="741"/>
      <c r="B61" s="302"/>
      <c r="C61" s="742" t="s">
        <v>781</v>
      </c>
      <c r="D61" s="63"/>
      <c r="E61" s="63"/>
      <c r="F61" s="63"/>
      <c r="G61"/>
      <c r="H61" s="741"/>
    </row>
    <row r="62" spans="1:8" ht="15.75" thickBot="1" x14ac:dyDescent="0.3">
      <c r="A62" s="741"/>
      <c r="B62" s="332"/>
      <c r="C62" s="734" t="s">
        <v>822</v>
      </c>
      <c r="D62" s="64">
        <f t="shared" ref="D62:E66" ca="1" si="4">((D$11*60)/D$9)*D$10*2*D31</f>
        <v>2002922.3929906078</v>
      </c>
      <c r="E62" s="64">
        <f t="shared" ca="1" si="4"/>
        <v>1995979.2124167217</v>
      </c>
      <c r="F62" s="931">
        <f ca="1">(((F$11*60)/F$9)*F$10*2*F31)*F19</f>
        <v>499515541.64722198</v>
      </c>
      <c r="G62"/>
      <c r="H62" s="741"/>
    </row>
    <row r="63" spans="1:8" ht="15.75" thickBot="1" x14ac:dyDescent="0.3">
      <c r="A63" s="741"/>
      <c r="B63" s="332"/>
      <c r="C63" s="735" t="s">
        <v>823</v>
      </c>
      <c r="D63" s="64">
        <f t="shared" ca="1" si="4"/>
        <v>2413.496729254723</v>
      </c>
      <c r="E63" s="64">
        <f t="shared" ca="1" si="4"/>
        <v>1409.6388700058012</v>
      </c>
      <c r="F63" s="932">
        <f t="shared" ref="F63:F66" ca="1" si="5">(((F$11*60)/F$9)*F$10*2*F32)*F20</f>
        <v>27372.739644487665</v>
      </c>
      <c r="G63"/>
      <c r="H63" s="741"/>
    </row>
    <row r="64" spans="1:8" ht="15.75" thickBot="1" x14ac:dyDescent="0.3">
      <c r="A64" s="741"/>
      <c r="B64" s="332"/>
      <c r="C64" s="735" t="s">
        <v>824</v>
      </c>
      <c r="D64" s="64">
        <f t="shared" ca="1" si="4"/>
        <v>66.179721140192129</v>
      </c>
      <c r="E64" s="64">
        <f t="shared" ca="1" si="4"/>
        <v>47.247631260347426</v>
      </c>
      <c r="F64" s="933">
        <f t="shared" ca="1" si="5"/>
        <v>13.510966761899713</v>
      </c>
      <c r="G64"/>
      <c r="H64" s="741"/>
    </row>
    <row r="65" spans="1:8" ht="15.75" thickBot="1" x14ac:dyDescent="0.3">
      <c r="A65" s="741"/>
      <c r="B65" s="332"/>
      <c r="C65" s="735" t="s">
        <v>825</v>
      </c>
      <c r="D65" s="64">
        <f t="shared" ca="1" si="4"/>
        <v>1998.5124655010161</v>
      </c>
      <c r="E65" s="64">
        <f t="shared" ca="1" si="4"/>
        <v>1147.4445313342367</v>
      </c>
      <c r="F65" s="932">
        <f t="shared" ca="1" si="5"/>
        <v>298.90138411394929</v>
      </c>
      <c r="G65"/>
      <c r="H65" s="741"/>
    </row>
    <row r="66" spans="1:8" ht="15.75" thickBot="1" x14ac:dyDescent="0.3">
      <c r="A66" s="741"/>
      <c r="B66" s="332"/>
      <c r="C66" s="736" t="s">
        <v>826</v>
      </c>
      <c r="D66" s="64">
        <f t="shared" ca="1" si="4"/>
        <v>95.084974153352462</v>
      </c>
      <c r="E66" s="64">
        <f t="shared" ca="1" si="4"/>
        <v>81.176939272357771</v>
      </c>
      <c r="F66" s="934">
        <f t="shared" ca="1" si="5"/>
        <v>-46.088648857794304</v>
      </c>
      <c r="G66" s="267"/>
      <c r="H66" s="741"/>
    </row>
    <row r="67" spans="1:8" ht="15.75" thickBot="1" x14ac:dyDescent="0.3">
      <c r="A67" s="741"/>
      <c r="B67" s="302"/>
      <c r="C67" s="742" t="s">
        <v>724</v>
      </c>
      <c r="D67"/>
      <c r="E67"/>
      <c r="F67" s="1036"/>
      <c r="G67" s="267"/>
      <c r="H67" s="741"/>
    </row>
    <row r="68" spans="1:8" ht="15.75" thickBot="1" x14ac:dyDescent="0.3">
      <c r="A68" s="741"/>
      <c r="B68" s="332"/>
      <c r="C68" s="802" t="s">
        <v>817</v>
      </c>
      <c r="D68" s="46">
        <f t="shared" ref="D68:E72" ca="1" si="6">D50-D62</f>
        <v>13587431203.763062</v>
      </c>
      <c r="E68" s="46">
        <f t="shared" ca="1" si="6"/>
        <v>11624443346.230207</v>
      </c>
      <c r="F68" s="1026">
        <f ca="1">(F$47*F25)-F62</f>
        <v>11729989075.893126</v>
      </c>
      <c r="G68" s="267"/>
      <c r="H68" s="741"/>
    </row>
    <row r="69" spans="1:8" ht="15.75" thickBot="1" x14ac:dyDescent="0.3">
      <c r="A69" s="741"/>
      <c r="B69" s="332"/>
      <c r="C69" s="330" t="s">
        <v>818</v>
      </c>
      <c r="D69" s="46">
        <f t="shared" ca="1" si="6"/>
        <v>22580878.121427145</v>
      </c>
      <c r="E69" s="46">
        <f t="shared" ca="1" si="6"/>
        <v>7300172.8466464421</v>
      </c>
      <c r="F69" s="1027">
        <f ca="1">(F$47*F26)-F63</f>
        <v>11872507.495441448</v>
      </c>
      <c r="G69" s="267"/>
      <c r="H69" s="741"/>
    </row>
    <row r="70" spans="1:8" ht="15.75" thickBot="1" x14ac:dyDescent="0.3">
      <c r="A70" s="741"/>
      <c r="B70" s="332"/>
      <c r="C70" s="803" t="s">
        <v>819</v>
      </c>
      <c r="D70" s="46">
        <f t="shared" ca="1" si="6"/>
        <v>659863.9613163427</v>
      </c>
      <c r="E70" s="46">
        <f t="shared" ca="1" si="6"/>
        <v>446063.49200200033</v>
      </c>
      <c r="F70" s="1028">
        <f ca="1">(F$47*F27)-F64</f>
        <v>510834.82389151579</v>
      </c>
      <c r="G70"/>
      <c r="H70" s="741"/>
    </row>
    <row r="71" spans="1:8" ht="15.75" thickBot="1" x14ac:dyDescent="0.3">
      <c r="A71" s="741"/>
      <c r="B71" s="332"/>
      <c r="C71" s="803" t="s">
        <v>820</v>
      </c>
      <c r="D71" s="46">
        <f t="shared" ca="1" si="6"/>
        <v>21667727.893516205</v>
      </c>
      <c r="E71" s="46">
        <f t="shared" ca="1" si="6"/>
        <v>7103650.9278819878</v>
      </c>
      <c r="F71" s="1027">
        <f ca="1">(F$47*F28)-F65</f>
        <v>11487285.280597365</v>
      </c>
      <c r="G71"/>
      <c r="H71" s="741"/>
    </row>
    <row r="72" spans="1:8" ht="15.75" thickBot="1" x14ac:dyDescent="0.3">
      <c r="A72" s="741"/>
      <c r="B72" s="332"/>
      <c r="C72" s="330" t="s">
        <v>821</v>
      </c>
      <c r="D72" s="46">
        <f t="shared" ca="1" si="6"/>
        <v>8355500.8475086326</v>
      </c>
      <c r="E72" s="46">
        <f t="shared" ca="1" si="6"/>
        <v>2670913.399673528</v>
      </c>
      <c r="F72" s="1029">
        <f ca="1">(F$47*F29)-F66</f>
        <v>4381496.6137198275</v>
      </c>
      <c r="G72"/>
      <c r="H72" s="741"/>
    </row>
    <row r="73" spans="1:8" x14ac:dyDescent="0.25">
      <c r="A73" s="741"/>
      <c r="B73" s="332"/>
      <c r="C73" s="329" t="s">
        <v>974</v>
      </c>
      <c r="D73" s="707"/>
      <c r="E73" s="969"/>
      <c r="F73" s="1037">
        <f ca="1">(F68*0.00000110231)/$F$19</f>
        <v>51.720337032991011</v>
      </c>
      <c r="G73"/>
      <c r="H73" s="741"/>
    </row>
    <row r="74" spans="1:8" x14ac:dyDescent="0.25">
      <c r="A74" s="741"/>
      <c r="B74" s="332"/>
      <c r="C74" s="330" t="s">
        <v>975</v>
      </c>
      <c r="D74" s="708"/>
      <c r="E74" s="970"/>
      <c r="F74" s="1038">
        <f ca="1">(F69*0.00000110231)/$F$19</f>
        <v>5.2348734949200254E-2</v>
      </c>
      <c r="G74"/>
      <c r="H74" s="741"/>
    </row>
    <row r="75" spans="1:8" x14ac:dyDescent="0.25">
      <c r="A75" s="741"/>
      <c r="B75" s="332"/>
      <c r="C75" s="330" t="s">
        <v>976</v>
      </c>
      <c r="D75" s="708"/>
      <c r="E75" s="970"/>
      <c r="F75" s="1038">
        <f ca="1">(F70*0.00000110231)/$F$19</f>
        <v>2.2523933388954274E-3</v>
      </c>
      <c r="G75"/>
      <c r="H75" s="741"/>
    </row>
    <row r="76" spans="1:8" x14ac:dyDescent="0.25">
      <c r="A76" s="741"/>
      <c r="B76" s="332"/>
      <c r="C76" s="330" t="s">
        <v>977</v>
      </c>
      <c r="D76" s="708"/>
      <c r="E76" s="970"/>
      <c r="F76" s="1038">
        <f ca="1">(F71*0.00000110231)/$F$19</f>
        <v>5.0650197750621122E-2</v>
      </c>
      <c r="G76"/>
      <c r="H76" s="741"/>
    </row>
    <row r="77" spans="1:8" ht="15.75" thickBot="1" x14ac:dyDescent="0.3">
      <c r="A77" s="741"/>
      <c r="B77" s="332"/>
      <c r="C77" s="331" t="s">
        <v>978</v>
      </c>
      <c r="D77" s="709"/>
      <c r="E77" s="971"/>
      <c r="F77" s="1039">
        <f ca="1">(F72*0.00000110231)/$F$19</f>
        <v>1.9319070129078013E-2</v>
      </c>
      <c r="G77"/>
      <c r="H77" s="741"/>
    </row>
    <row r="78" spans="1:8" x14ac:dyDescent="0.25">
      <c r="A78" s="741"/>
      <c r="B78" s="302"/>
      <c r="C78"/>
      <c r="D78"/>
      <c r="E78"/>
      <c r="F78"/>
      <c r="G78"/>
      <c r="H78" s="741"/>
    </row>
    <row r="79" spans="1:8" ht="11.25" customHeight="1" x14ac:dyDescent="0.25">
      <c r="A79" s="741"/>
      <c r="B79" s="741"/>
      <c r="C79" s="741"/>
      <c r="D79" s="741"/>
      <c r="E79" s="741"/>
      <c r="F79" s="741"/>
      <c r="G79" s="741"/>
      <c r="H79" s="741"/>
    </row>
    <row r="80" spans="1:8" ht="11.25" customHeight="1" x14ac:dyDescent="0.25"/>
  </sheetData>
  <mergeCells count="6">
    <mergeCell ref="C37:F37"/>
    <mergeCell ref="C43:F43"/>
    <mergeCell ref="C3:F3"/>
    <mergeCell ref="C2:F2"/>
    <mergeCell ref="C5:F5"/>
    <mergeCell ref="C15:F15"/>
  </mergeCells>
  <dataValidations count="1">
    <dataValidation type="list" allowBlank="1" showInputMessage="1" showErrorMessage="1" sqref="D9:E11">
      <formula1>$A$330:$A$335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OtherVariables!$I$121:$I$131</xm:f>
          </x14:formula1>
          <xm:sqref>F7</xm:sqref>
        </x14:dataValidation>
        <x14:dataValidation type="list" allowBlank="1" showInputMessage="1" showErrorMessage="1">
          <x14:formula1>
            <xm:f>OtherVariables!$A$368:$A$373</xm:f>
          </x14:formula1>
          <xm:sqref>D8:F8</xm:sqref>
        </x14:dataValidation>
        <x14:dataValidation type="list" allowBlank="1" showInputMessage="1" showErrorMessage="1">
          <x14:formula1>
            <xm:f>OtherVariables!$A$361:$A$362</xm:f>
          </x14:formula1>
          <xm:sqref>D12:F12</xm:sqref>
        </x14:dataValidation>
        <x14:dataValidation type="list" allowBlank="1" showInputMessage="1" showErrorMessage="1">
          <x14:formula1>
            <xm:f>OtherVariables!$D$362:$H$362</xm:f>
          </x14:formula1>
          <xm:sqref>F14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</vt:i4>
      </vt:variant>
    </vt:vector>
  </HeadingPairs>
  <TitlesOfParts>
    <vt:vector size="24" baseType="lpstr">
      <vt:lpstr>2.1_ATMS</vt:lpstr>
      <vt:lpstr>2.2_Signal Synchronization</vt:lpstr>
      <vt:lpstr>2.3a_Int - New Signal</vt:lpstr>
      <vt:lpstr>2.3b_Int - New Phase</vt:lpstr>
      <vt:lpstr>2.3c_Int - Capacity and Phase</vt:lpstr>
      <vt:lpstr>2.4_Roundabout</vt:lpstr>
      <vt:lpstr>2.5_Incident Management</vt:lpstr>
      <vt:lpstr>2.6_DDI</vt:lpstr>
      <vt:lpstr>3.1_Transit-TransitTech</vt:lpstr>
      <vt:lpstr>3.2_Transit Signal Priority</vt:lpstr>
      <vt:lpstr>4.1_Managed Lane</vt:lpstr>
      <vt:lpstr>5.1_Bike-Ped-Transit</vt:lpstr>
      <vt:lpstr>5.2_Reg. Significant Bike-Ped</vt:lpstr>
      <vt:lpstr>5.3_Commute Strategies</vt:lpstr>
      <vt:lpstr>6.1_Retrofits</vt:lpstr>
      <vt:lpstr>6.2_Alt Fuel Vehicles</vt:lpstr>
      <vt:lpstr>2010ER</vt:lpstr>
      <vt:lpstr>2020ER</vt:lpstr>
      <vt:lpstr>OtherVariables</vt:lpstr>
      <vt:lpstr>Sources &amp; Comments</vt:lpstr>
      <vt:lpstr>Transit-AltFuelER</vt:lpstr>
      <vt:lpstr>Capacity</vt:lpstr>
      <vt:lpstr>Propensity</vt:lpstr>
      <vt:lpstr>Speed</vt:lpstr>
    </vt:vector>
  </TitlesOfParts>
  <Company>Cambridge Systematics,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Suseel Indrakanti</dc:creator>
  <cp:lastModifiedBy>David D'Onofrio</cp:lastModifiedBy>
  <cp:lastPrinted>2014-07-28T16:07:16Z</cp:lastPrinted>
  <dcterms:created xsi:type="dcterms:W3CDTF">2010-04-15T20:06:27Z</dcterms:created>
  <dcterms:modified xsi:type="dcterms:W3CDTF">2016-12-27T15:26:52Z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97e7cee5-9af8-4d9a-bdcc-2aeb91bf464d</vt:lpwstr>
  </property>
</Properties>
</file>